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/>
  <xr:revisionPtr revIDLastSave="0" documentId="13_ncr:1_{B27C90AA-C97C-429C-8230-98C9CE0718C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APITAL TRABAJO" sheetId="1" r:id="rId1"/>
    <sheet name="EDO. DE SITUACIÓN" sheetId="4" r:id="rId2"/>
    <sheet name="RESULTADOS" sheetId="2" r:id="rId3"/>
    <sheet name="EFECTIVO" sheetId="3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3" l="1"/>
  <c r="C37" i="3" s="1"/>
  <c r="C42" i="3" s="1"/>
  <c r="C47" i="3"/>
  <c r="B63" i="3" l="1"/>
  <c r="B62" i="3"/>
  <c r="B64" i="3" l="1"/>
  <c r="B60" i="3"/>
  <c r="C56" i="3"/>
  <c r="D64" i="3" l="1"/>
  <c r="F8" i="1" l="1"/>
  <c r="F7" i="1"/>
  <c r="D9" i="1"/>
  <c r="B9" i="1"/>
  <c r="F9" i="1" l="1"/>
  <c r="H9" i="1" s="1"/>
  <c r="F16" i="1"/>
  <c r="F15" i="1"/>
  <c r="F14" i="1"/>
  <c r="F13" i="1"/>
  <c r="H13" i="1" s="1"/>
  <c r="F12" i="1"/>
  <c r="F10" i="1"/>
  <c r="F26" i="1"/>
  <c r="F23" i="1"/>
  <c r="F22" i="1"/>
  <c r="F21" i="1"/>
  <c r="D25" i="1"/>
  <c r="D24" i="1"/>
  <c r="H10" i="1" l="1"/>
  <c r="H12" i="1"/>
  <c r="F24" i="1"/>
  <c r="F25" i="1"/>
  <c r="D17" i="1"/>
  <c r="B17" i="1"/>
  <c r="B18" i="1" s="1"/>
  <c r="F27" i="1" l="1"/>
  <c r="G27" i="1" s="1"/>
  <c r="F30" i="1"/>
  <c r="C12" i="1"/>
  <c r="I12" i="1" s="1"/>
  <c r="C7" i="1"/>
  <c r="C8" i="1"/>
  <c r="C9" i="1"/>
  <c r="I9" i="1" s="1"/>
  <c r="D18" i="1"/>
  <c r="G24" i="1"/>
  <c r="G21" i="1"/>
  <c r="G23" i="1"/>
  <c r="G22" i="1"/>
  <c r="G25" i="1"/>
  <c r="G26" i="1"/>
  <c r="F17" i="1"/>
  <c r="J17" i="1" s="1"/>
  <c r="D27" i="1"/>
  <c r="D30" i="1" s="1"/>
  <c r="B27" i="1"/>
  <c r="B29" i="1" s="1"/>
  <c r="C25" i="1" l="1"/>
  <c r="B30" i="1"/>
  <c r="D29" i="1"/>
  <c r="D28" i="1"/>
  <c r="B28" i="1"/>
  <c r="I29" i="1"/>
  <c r="E17" i="1"/>
  <c r="E8" i="1"/>
  <c r="E7" i="1"/>
  <c r="E9" i="1"/>
  <c r="C18" i="1"/>
  <c r="C10" i="1"/>
  <c r="I10" i="1" s="1"/>
  <c r="C13" i="1"/>
  <c r="I13" i="1" s="1"/>
  <c r="C16" i="1"/>
  <c r="I16" i="1" s="1"/>
  <c r="C15" i="1"/>
  <c r="I15" i="1" s="1"/>
  <c r="C14" i="1"/>
  <c r="I14" i="1" s="1"/>
  <c r="E16" i="1"/>
  <c r="E12" i="1"/>
  <c r="E15" i="1"/>
  <c r="E18" i="1"/>
  <c r="E14" i="1"/>
  <c r="E10" i="1"/>
  <c r="E13" i="1"/>
  <c r="C27" i="1"/>
  <c r="C23" i="1"/>
  <c r="I23" i="1" s="1"/>
  <c r="C26" i="1"/>
  <c r="I26" i="1" s="1"/>
  <c r="C22" i="1"/>
  <c r="I22" i="1" s="1"/>
  <c r="C21" i="1"/>
  <c r="I21" i="1" s="1"/>
  <c r="I25" i="1"/>
  <c r="C24" i="1"/>
  <c r="I24" i="1" s="1"/>
  <c r="E27" i="1"/>
  <c r="E23" i="1"/>
  <c r="E26" i="1"/>
  <c r="E22" i="1"/>
  <c r="E21" i="1"/>
  <c r="E25" i="1"/>
  <c r="E24" i="1"/>
  <c r="C17" i="1"/>
  <c r="K17" i="1" s="1"/>
  <c r="F18" i="1"/>
  <c r="J19" i="1" l="1"/>
  <c r="I28" i="1"/>
  <c r="F28" i="1"/>
  <c r="F29" i="1"/>
  <c r="G8" i="1"/>
  <c r="G9" i="1"/>
  <c r="G7" i="1"/>
  <c r="G15" i="1"/>
  <c r="G13" i="1"/>
  <c r="G16" i="1"/>
  <c r="G12" i="1"/>
  <c r="G14" i="1"/>
  <c r="G10" i="1"/>
  <c r="G17" i="1"/>
  <c r="J28" i="1" l="1"/>
  <c r="G18" i="1"/>
  <c r="I19" i="1" l="1"/>
  <c r="I30" i="1" s="1"/>
  <c r="I31" i="1" s="1"/>
  <c r="J31" i="1" l="1"/>
  <c r="K32" i="1"/>
  <c r="B41" i="4"/>
</calcChain>
</file>

<file path=xl/sharedStrings.xml><?xml version="1.0" encoding="utf-8"?>
<sst xmlns="http://schemas.openxmlformats.org/spreadsheetml/2006/main" count="174" uniqueCount="157">
  <si>
    <t>Repuestos</t>
  </si>
  <si>
    <t>Inventario en tránsito</t>
  </si>
  <si>
    <t>Productos terminados</t>
  </si>
  <si>
    <t>Productos en proceso</t>
  </si>
  <si>
    <t>Materia prima</t>
  </si>
  <si>
    <t>INVENTARIOS</t>
  </si>
  <si>
    <t>CUENTAS POR COBRAR</t>
  </si>
  <si>
    <t>EFECTIVO</t>
  </si>
  <si>
    <t>ACIVO CIRCULANTE</t>
  </si>
  <si>
    <t>TOTAL ACTIVO CIRCULANTE</t>
  </si>
  <si>
    <t>PASIVO CIRCULANTE</t>
  </si>
  <si>
    <t xml:space="preserve">Papeles comerciales </t>
  </si>
  <si>
    <t>Préstamos a corto plazo</t>
  </si>
  <si>
    <t>Dividendos por pagar</t>
  </si>
  <si>
    <t xml:space="preserve">Impuesto sobre la renta por pagar </t>
  </si>
  <si>
    <t xml:space="preserve">Cuentas por pagar </t>
  </si>
  <si>
    <t>Total inventarios</t>
  </si>
  <si>
    <t>TOTAL PASIVO CIRCULANTE</t>
  </si>
  <si>
    <t>Promedios</t>
  </si>
  <si>
    <t>Ïndice de solvencia</t>
  </si>
  <si>
    <t>%</t>
  </si>
  <si>
    <t>Antigüedades</t>
  </si>
  <si>
    <t>Exigibilidad del PC</t>
  </si>
  <si>
    <t>ponderadas</t>
  </si>
  <si>
    <t xml:space="preserve"> </t>
  </si>
  <si>
    <t>Costo de fabricación de productos terminados</t>
  </si>
  <si>
    <t>Ïndice de solvencia teórico</t>
  </si>
  <si>
    <t>EXCESO (DEFECTO)</t>
  </si>
  <si>
    <t>Ïndice de solvencia real</t>
  </si>
  <si>
    <t>"SOLVENTE"</t>
  </si>
  <si>
    <t>"INSUFICIENCIA DE CAPITAL DE TRABAJO"</t>
  </si>
  <si>
    <t>Efectivo en caja y bancos</t>
  </si>
  <si>
    <t>Colocaciones bancarias</t>
  </si>
  <si>
    <t xml:space="preserve">   Efectivo y equivalentes de efectivo</t>
  </si>
  <si>
    <t>INGRESOS POR VENTAS</t>
  </si>
  <si>
    <t>COSTO DE VENTAS</t>
  </si>
  <si>
    <t>UTILIDAD BRUTA</t>
  </si>
  <si>
    <t>COSTOS Y GASTOS:</t>
  </si>
  <si>
    <t>UTILIDAD EN OPERACIONES</t>
  </si>
  <si>
    <t>PARTICIPACIÓN EN RESULTADOS DE NEGOCIOS CONJUNTOS</t>
  </si>
  <si>
    <t>COSTOS FINANCIEROS</t>
  </si>
  <si>
    <t>INGRESOS FINANCIEROS</t>
  </si>
  <si>
    <t>DIFERENCIAS EN CAMBIO - NETO</t>
  </si>
  <si>
    <t>RESULTADO EN OPERACIONES DE PERMUTA CON TÍTULOS VALORES</t>
  </si>
  <si>
    <t>Pérdida en venta de inversiones disponibles para la venta</t>
  </si>
  <si>
    <t>OTROS INGRESOS (EGRESOS):</t>
  </si>
  <si>
    <t>UTILIDAD ANTES DE IMPUESTOS</t>
  </si>
  <si>
    <t>UTILIDAD NETA</t>
  </si>
  <si>
    <t>UTILIDAD POR ACCIÓN:</t>
  </si>
  <si>
    <t>Gastos de ventas</t>
  </si>
  <si>
    <t>Gastos generales y administrativos</t>
  </si>
  <si>
    <t>Utilidad en venta de activos</t>
  </si>
  <si>
    <t>Comisiones ADR</t>
  </si>
  <si>
    <t>Impuesto al débito bancario</t>
  </si>
  <si>
    <t>Impuesto a las transacciones financieras</t>
  </si>
  <si>
    <t>Otros - neto</t>
  </si>
  <si>
    <t>Impuesto sobre la renta</t>
  </si>
  <si>
    <t>ESTADO DE RESULTADOS AL 31 DE DICIEMRE DE 2007 (En bolívares)</t>
  </si>
  <si>
    <t xml:space="preserve">   Total costos y gastos</t>
  </si>
  <si>
    <t>(Expresados en bolívares)</t>
  </si>
  <si>
    <t>ACTIVIDADES OPERACIONALES:</t>
  </si>
  <si>
    <t>Utilidad neta</t>
  </si>
  <si>
    <t>Ajustes para conciliar la utilidad neta con el efectivo provisto por</t>
  </si>
  <si>
    <t>Diferencias en cambio - neto</t>
  </si>
  <si>
    <t>Participación en resultados de negocios conjuntos</t>
  </si>
  <si>
    <t>Resultado por reducción de participación patrimonial en negocio conjunto</t>
  </si>
  <si>
    <t>Impuesto sobre la renta diferido</t>
  </si>
  <si>
    <t>Provisión para impuestos</t>
  </si>
  <si>
    <t>Resultado no realizado en inversiones</t>
  </si>
  <si>
    <t>Resultado realizado en inversiones disponibles para la venta</t>
  </si>
  <si>
    <t>Resultado por disminución de inversiones disponibles para la venta</t>
  </si>
  <si>
    <t>Resultado por desincorporación de propiedades y equipo</t>
  </si>
  <si>
    <t>Resultado en venta de propiedades y equipo</t>
  </si>
  <si>
    <t>Costos financieros</t>
  </si>
  <si>
    <t>Ingresos financieros</t>
  </si>
  <si>
    <t>Provisión para inversiones</t>
  </si>
  <si>
    <t>Depreciación</t>
  </si>
  <si>
    <t>Disminución (aumento) en:</t>
  </si>
  <si>
    <t>Efectos y cuentas por cobrar</t>
  </si>
  <si>
    <t>Anticipos a proveedores</t>
  </si>
  <si>
    <t>Inventarios</t>
  </si>
  <si>
    <t>Gastos pagados por anticipado</t>
  </si>
  <si>
    <t>Cuentas por pagar</t>
  </si>
  <si>
    <t>Impuestos por pagar</t>
  </si>
  <si>
    <t>Beneficio laboral para retiro voluntario de personal</t>
  </si>
  <si>
    <t>Apartado para prestaciones por antigüedad, neto de anticipos</t>
  </si>
  <si>
    <t>Intereses pagados</t>
  </si>
  <si>
    <t>Intereses cobrados</t>
  </si>
  <si>
    <t>Impuestos pagados</t>
  </si>
  <si>
    <t>Efectivo neto provisto por las actividades operacionales</t>
  </si>
  <si>
    <t>ACTIVIDADES DE INVERSIÓN:</t>
  </si>
  <si>
    <t>Disminución en inversiones disponibles para la venta</t>
  </si>
  <si>
    <t>Venta de propiedades y equipo</t>
  </si>
  <si>
    <t>Adquisición de propiedades y equipo</t>
  </si>
  <si>
    <t>Efectivo neto usado en las actividades de inversión</t>
  </si>
  <si>
    <t>ACTIVIDADES DE FINANCIAMIENTO:</t>
  </si>
  <si>
    <t>Aumento (disminución) neto en préstamos a corto plazo</t>
  </si>
  <si>
    <t xml:space="preserve">Importe de la emisión de papeles comerciales </t>
  </si>
  <si>
    <t xml:space="preserve">Amortización de  papeles comerciales </t>
  </si>
  <si>
    <t>Importe de la emisión de bonos quirografarios</t>
  </si>
  <si>
    <t>Aumento de capital</t>
  </si>
  <si>
    <t>Prima en emisión de acciones</t>
  </si>
  <si>
    <t>Dividendos pagados en efectivo</t>
  </si>
  <si>
    <t>Efectivo neto usado en las actividades de financiamiento</t>
  </si>
  <si>
    <t>AUMENTO (DISMINUCIÓN) NETO EN EFECTIVO Y EQUIVALENTES</t>
  </si>
  <si>
    <t>EFECTIVO Y EQUIVALENTES DE EFECTIVO AL INICIO DEL AÑO</t>
  </si>
  <si>
    <t>EFECTIVO Y EQUIVALENTES DE EFECTIVO AL FINAL DEL AÑO</t>
  </si>
  <si>
    <t>Entradas</t>
  </si>
  <si>
    <t>Salidas</t>
  </si>
  <si>
    <t>Movimiento neto</t>
  </si>
  <si>
    <t>.</t>
  </si>
  <si>
    <t>CAPITAL DE TRABAJO NETO</t>
  </si>
  <si>
    <t>Prueba del ácido</t>
  </si>
  <si>
    <t>Ciclo ponderado del CT</t>
  </si>
  <si>
    <t>: Exceso (defecto) teórico de capital de trabajo.</t>
  </si>
  <si>
    <t>S.A. MANUFACTURERA DE PAPEL Y FILIALES</t>
  </si>
  <si>
    <t>POR EL AÑO TERMINADO EL 31 DE DICIEMBRE DE 2007</t>
  </si>
  <si>
    <t>ANÁLISIS DEL CAPITAL DE TRABAJO</t>
  </si>
  <si>
    <t>ACTIVO</t>
  </si>
  <si>
    <t>ACTIVO NO CORRIENTE:</t>
  </si>
  <si>
    <t>Propiedades, planta y equipo -  neto</t>
  </si>
  <si>
    <t>Participaciones en asociadas y negocios conjuntos</t>
  </si>
  <si>
    <t>Inversiones registradas al costo, neto</t>
  </si>
  <si>
    <t>ACTIVO CORRIENTE:</t>
  </si>
  <si>
    <t>Inventarios - neto</t>
  </si>
  <si>
    <t>Efectos y cuentas por cobrar - neto</t>
  </si>
  <si>
    <t>Inversiones disponibles para la venta</t>
  </si>
  <si>
    <t xml:space="preserve">Efectivo y equivalentes de efectivo </t>
  </si>
  <si>
    <t>PATRIMONIO Y PASIVO</t>
  </si>
  <si>
    <t>PATRIMONIO:</t>
  </si>
  <si>
    <t xml:space="preserve">Capital social </t>
  </si>
  <si>
    <t>Resultado acumulado por traducción de filial y negocios conjuntos en el exterior</t>
  </si>
  <si>
    <t>Utilidades retenidas:</t>
  </si>
  <si>
    <t>Reserva legal</t>
  </si>
  <si>
    <t xml:space="preserve">Saldo neto actualizado de utilidades retenidas para uso único de </t>
  </si>
  <si>
    <t>pagos de dividendos en acciones de la Compañía o de sus subsidiarias</t>
  </si>
  <si>
    <t>No distribuidas</t>
  </si>
  <si>
    <t>PASIVO NO CORRIENTE:</t>
  </si>
  <si>
    <t xml:space="preserve">Apartado para prestaciones por antigüedad a largo plazo, </t>
  </si>
  <si>
    <t>neto de anticipos</t>
  </si>
  <si>
    <t>Bonos quirografarios</t>
  </si>
  <si>
    <t>PASIVO CORRIENTE:</t>
  </si>
  <si>
    <t xml:space="preserve">Apartado para prestaciones por antigüedad a corto plazo, </t>
  </si>
  <si>
    <t>Ver notas a los estados financieros consolidados</t>
  </si>
  <si>
    <t>BALANCE GENERAL CONSOLIDADO, 31 DE DICIEMBRE DE 2007</t>
  </si>
  <si>
    <t>(Expresado en bolívares)</t>
  </si>
  <si>
    <t>ESTADO CONSOLIDADO DE FLUJO DE EFECTIVO</t>
  </si>
  <si>
    <t xml:space="preserve">   Total activo no corriente</t>
  </si>
  <si>
    <t xml:space="preserve">   Total activo corriente</t>
  </si>
  <si>
    <t>TOTAL ACTIVO</t>
  </si>
  <si>
    <t xml:space="preserve">   Total patrimonio</t>
  </si>
  <si>
    <t xml:space="preserve">   Total pasivo no corriente</t>
  </si>
  <si>
    <t xml:space="preserve">   Total pasivo corriente</t>
  </si>
  <si>
    <t xml:space="preserve">   Total pasivo</t>
  </si>
  <si>
    <t>TOTAL Y PATRIMONIO</t>
  </si>
  <si>
    <t>Efectivo bruto provisto por las actividades operacionales</t>
  </si>
  <si>
    <t xml:space="preserve">Apdo. para Prest. por antigüedad a C.P.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</si>
</sst>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0_);_(* \(#,##0.00\);_(* &quot;-&quot;_);_(@_)"/>
    <numFmt numFmtId="168" formatCode="0.00000000000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name val="Times New Roman"/>
      <family val="1"/>
    </font>
    <font>
      <b/>
      <sz val="16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164" fontId="2" fillId="0" borderId="1" xfId="1" applyNumberFormat="1" applyFont="1" applyBorder="1"/>
    <xf numFmtId="164" fontId="2" fillId="0" borderId="0" xfId="1" applyNumberFormat="1" applyFont="1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center"/>
    </xf>
    <xf numFmtId="166" fontId="5" fillId="0" borderId="0" xfId="2" applyNumberFormat="1" applyFont="1"/>
    <xf numFmtId="10" fontId="5" fillId="0" borderId="0" xfId="3" applyNumberFormat="1" applyFont="1"/>
    <xf numFmtId="164" fontId="2" fillId="0" borderId="2" xfId="1" applyNumberFormat="1" applyFont="1" applyBorder="1"/>
    <xf numFmtId="0" fontId="8" fillId="0" borderId="0" xfId="1" applyFont="1"/>
    <xf numFmtId="0" fontId="3" fillId="0" borderId="0" xfId="1" applyFont="1"/>
    <xf numFmtId="164" fontId="3" fillId="0" borderId="3" xfId="1" applyNumberFormat="1" applyFont="1" applyBorder="1"/>
    <xf numFmtId="167" fontId="3" fillId="0" borderId="9" xfId="1" applyNumberFormat="1" applyFont="1" applyBorder="1"/>
    <xf numFmtId="164" fontId="0" fillId="0" borderId="0" xfId="0" applyNumberFormat="1"/>
    <xf numFmtId="165" fontId="2" fillId="0" borderId="0" xfId="1" applyNumberFormat="1" applyFont="1"/>
    <xf numFmtId="37" fontId="2" fillId="0" borderId="0" xfId="1" applyNumberFormat="1" applyFont="1"/>
    <xf numFmtId="0" fontId="9" fillId="0" borderId="0" xfId="1" applyFont="1" applyAlignment="1">
      <alignment horizontal="left"/>
    </xf>
    <xf numFmtId="49" fontId="3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1" xfId="1" applyFont="1" applyBorder="1" applyAlignment="1">
      <alignment horizontal="left"/>
    </xf>
    <xf numFmtId="49" fontId="2" fillId="0" borderId="0" xfId="1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right" vertical="center"/>
    </xf>
    <xf numFmtId="1" fontId="12" fillId="0" borderId="0" xfId="0" applyNumberFormat="1" applyFont="1" applyAlignment="1">
      <alignment horizontal="center"/>
    </xf>
    <xf numFmtId="10" fontId="12" fillId="0" borderId="0" xfId="3" applyNumberFormat="1" applyFont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11" fillId="0" borderId="0" xfId="0" applyFont="1"/>
    <xf numFmtId="10" fontId="11" fillId="0" borderId="0" xfId="3" applyNumberFormat="1" applyFont="1"/>
    <xf numFmtId="10" fontId="11" fillId="0" borderId="0" xfId="0" applyNumberFormat="1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3" fontId="11" fillId="0" borderId="0" xfId="0" applyNumberFormat="1" applyFont="1"/>
    <xf numFmtId="0" fontId="13" fillId="0" borderId="0" xfId="0" applyFont="1"/>
    <xf numFmtId="10" fontId="11" fillId="0" borderId="0" xfId="3" applyNumberFormat="1" applyFont="1" applyAlignment="1">
      <alignment horizontal="center"/>
    </xf>
    <xf numFmtId="165" fontId="11" fillId="0" borderId="0" xfId="0" applyNumberFormat="1" applyFont="1" applyAlignment="1">
      <alignment horizontal="right" vertical="center"/>
    </xf>
    <xf numFmtId="165" fontId="11" fillId="0" borderId="0" xfId="0" applyNumberFormat="1" applyFont="1"/>
    <xf numFmtId="3" fontId="11" fillId="0" borderId="2" xfId="0" applyNumberFormat="1" applyFont="1" applyBorder="1"/>
    <xf numFmtId="10" fontId="11" fillId="0" borderId="2" xfId="3" applyNumberFormat="1" applyFont="1" applyBorder="1"/>
    <xf numFmtId="10" fontId="11" fillId="0" borderId="2" xfId="3" applyNumberFormat="1" applyFont="1" applyBorder="1" applyAlignment="1">
      <alignment horizontal="center"/>
    </xf>
    <xf numFmtId="166" fontId="11" fillId="0" borderId="0" xfId="0" applyNumberFormat="1" applyFont="1" applyAlignment="1">
      <alignment horizontal="right" vertical="center"/>
    </xf>
    <xf numFmtId="165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right"/>
    </xf>
    <xf numFmtId="3" fontId="13" fillId="0" borderId="3" xfId="0" applyNumberFormat="1" applyFont="1" applyBorder="1"/>
    <xf numFmtId="3" fontId="13" fillId="0" borderId="4" xfId="0" applyNumberFormat="1" applyFont="1" applyBorder="1"/>
    <xf numFmtId="9" fontId="13" fillId="0" borderId="6" xfId="3" applyFont="1" applyBorder="1" applyAlignment="1">
      <alignment horizontal="right" vertical="center"/>
    </xf>
    <xf numFmtId="165" fontId="13" fillId="0" borderId="7" xfId="0" applyNumberFormat="1" applyFont="1" applyBorder="1" applyAlignment="1">
      <alignment horizontal="left" vertical="center"/>
    </xf>
    <xf numFmtId="3" fontId="14" fillId="0" borderId="0" xfId="1" applyNumberFormat="1" applyFont="1"/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horizontal="left" vertical="center"/>
    </xf>
    <xf numFmtId="0" fontId="14" fillId="0" borderId="0" xfId="1" applyFont="1"/>
    <xf numFmtId="164" fontId="14" fillId="0" borderId="0" xfId="1" applyNumberFormat="1" applyFont="1"/>
    <xf numFmtId="10" fontId="14" fillId="0" borderId="0" xfId="3" applyNumberFormat="1" applyFont="1"/>
    <xf numFmtId="10" fontId="14" fillId="0" borderId="0" xfId="3" applyNumberFormat="1" applyFont="1" applyAlignment="1">
      <alignment horizontal="center"/>
    </xf>
    <xf numFmtId="164" fontId="14" fillId="0" borderId="1" xfId="1" applyNumberFormat="1" applyFont="1" applyBorder="1"/>
    <xf numFmtId="0" fontId="15" fillId="0" borderId="0" xfId="1" applyFont="1" applyAlignment="1">
      <alignment horizontal="right"/>
    </xf>
    <xf numFmtId="164" fontId="15" fillId="0" borderId="1" xfId="1" applyNumberFormat="1" applyFont="1" applyBorder="1"/>
    <xf numFmtId="164" fontId="15" fillId="0" borderId="4" xfId="1" applyNumberFormat="1" applyFont="1" applyBorder="1"/>
    <xf numFmtId="0" fontId="14" fillId="0" borderId="0" xfId="1" applyFont="1" applyAlignment="1">
      <alignment horizontal="center" vertical="center"/>
    </xf>
    <xf numFmtId="2" fontId="13" fillId="0" borderId="5" xfId="0" applyNumberFormat="1" applyFont="1" applyBorder="1" applyAlignment="1">
      <alignment horizontal="center" vertical="center"/>
    </xf>
    <xf numFmtId="2" fontId="13" fillId="0" borderId="5" xfId="0" applyNumberFormat="1" applyFont="1" applyBorder="1" applyAlignment="1">
      <alignment horizontal="center"/>
    </xf>
    <xf numFmtId="4" fontId="11" fillId="0" borderId="0" xfId="0" applyNumberFormat="1" applyFont="1"/>
    <xf numFmtId="0" fontId="13" fillId="0" borderId="8" xfId="0" applyFont="1" applyBorder="1" applyAlignment="1">
      <alignment horizontal="right" vertical="center"/>
    </xf>
    <xf numFmtId="3" fontId="15" fillId="0" borderId="0" xfId="1" applyNumberFormat="1" applyFont="1"/>
    <xf numFmtId="3" fontId="15" fillId="0" borderId="0" xfId="3" applyNumberFormat="1" applyFont="1"/>
    <xf numFmtId="4" fontId="11" fillId="0" borderId="0" xfId="3" applyNumberFormat="1" applyFont="1"/>
    <xf numFmtId="10" fontId="11" fillId="0" borderId="8" xfId="3" applyNumberFormat="1" applyFont="1" applyBorder="1"/>
    <xf numFmtId="9" fontId="13" fillId="0" borderId="5" xfId="3" applyFont="1" applyBorder="1" applyAlignment="1">
      <alignment horizontal="right" vertical="center"/>
    </xf>
    <xf numFmtId="10" fontId="14" fillId="0" borderId="5" xfId="3" applyNumberFormat="1" applyFont="1" applyBorder="1" applyAlignment="1">
      <alignment horizontal="center"/>
    </xf>
    <xf numFmtId="10" fontId="11" fillId="0" borderId="5" xfId="3" applyNumberFormat="1" applyFont="1" applyBorder="1"/>
    <xf numFmtId="10" fontId="11" fillId="0" borderId="6" xfId="3" applyNumberFormat="1" applyFont="1" applyBorder="1"/>
    <xf numFmtId="0" fontId="13" fillId="0" borderId="0" xfId="0" applyFont="1" applyAlignment="1">
      <alignment horizontal="right" vertical="center"/>
    </xf>
    <xf numFmtId="2" fontId="13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165" fontId="3" fillId="0" borderId="0" xfId="1" applyNumberFormat="1" applyFont="1" applyAlignment="1">
      <alignment horizontal="center"/>
    </xf>
    <xf numFmtId="3" fontId="6" fillId="0" borderId="0" xfId="0" applyNumberFormat="1" applyFont="1"/>
    <xf numFmtId="0" fontId="3" fillId="0" borderId="0" xfId="1" applyFont="1" applyAlignment="1">
      <alignment horizontal="centerContinuous"/>
    </xf>
    <xf numFmtId="0" fontId="3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168" fontId="0" fillId="0" borderId="0" xfId="0" applyNumberFormat="1" applyBorder="1"/>
    <xf numFmtId="164" fontId="10" fillId="0" borderId="0" xfId="0" applyNumberFormat="1" applyFont="1"/>
    <xf numFmtId="164" fontId="3" fillId="0" borderId="0" xfId="1" applyNumberFormat="1" applyFont="1" applyBorder="1"/>
    <xf numFmtId="0" fontId="2" fillId="0" borderId="0" xfId="1" applyFont="1" applyBorder="1"/>
    <xf numFmtId="165" fontId="5" fillId="2" borderId="0" xfId="0" applyNumberFormat="1" applyFont="1" applyFill="1"/>
    <xf numFmtId="2" fontId="13" fillId="2" borderId="5" xfId="0" applyNumberFormat="1" applyFont="1" applyFill="1" applyBorder="1" applyAlignment="1">
      <alignment horizontal="center"/>
    </xf>
    <xf numFmtId="0" fontId="15" fillId="0" borderId="0" xfId="1" applyFont="1" applyAlignment="1">
      <alignment horizontal="left"/>
    </xf>
    <xf numFmtId="164" fontId="14" fillId="0" borderId="0" xfId="1" applyNumberFormat="1" applyFont="1" applyAlignment="1">
      <alignment horizontal="centerContinuous"/>
    </xf>
    <xf numFmtId="0" fontId="15" fillId="0" borderId="1" xfId="1" applyFont="1" applyBorder="1" applyAlignment="1">
      <alignment horizontal="left"/>
    </xf>
    <xf numFmtId="164" fontId="14" fillId="0" borderId="1" xfId="1" applyNumberFormat="1" applyFont="1" applyBorder="1" applyAlignment="1">
      <alignment horizontal="centerContinuous"/>
    </xf>
    <xf numFmtId="0" fontId="15" fillId="0" borderId="1" xfId="1" applyFont="1" applyBorder="1" applyAlignment="1">
      <alignment horizontal="center"/>
    </xf>
    <xf numFmtId="0" fontId="15" fillId="0" borderId="0" xfId="1" applyFont="1"/>
    <xf numFmtId="164" fontId="11" fillId="0" borderId="0" xfId="0" applyNumberFormat="1" applyFont="1"/>
    <xf numFmtId="0" fontId="11" fillId="0" borderId="2" xfId="0" applyFont="1" applyBorder="1"/>
    <xf numFmtId="164" fontId="15" fillId="0" borderId="11" xfId="1" applyNumberFormat="1" applyFont="1" applyBorder="1"/>
    <xf numFmtId="0" fontId="14" fillId="0" borderId="0" xfId="1" applyFont="1" applyAlignment="1">
      <alignment horizontal="right"/>
    </xf>
    <xf numFmtId="164" fontId="15" fillId="0" borderId="0" xfId="1" applyNumberFormat="1" applyFont="1"/>
    <xf numFmtId="164" fontId="15" fillId="0" borderId="10" xfId="1" applyNumberFormat="1" applyFont="1" applyBorder="1"/>
    <xf numFmtId="37" fontId="13" fillId="0" borderId="0" xfId="0" applyNumberFormat="1" applyFont="1"/>
    <xf numFmtId="37" fontId="13" fillId="0" borderId="2" xfId="0" applyNumberFormat="1" applyFont="1" applyBorder="1"/>
    <xf numFmtId="10" fontId="11" fillId="0" borderId="8" xfId="3" applyNumberFormat="1" applyFont="1" applyBorder="1" applyAlignment="1"/>
    <xf numFmtId="0" fontId="13" fillId="0" borderId="5" xfId="0" applyFont="1" applyBorder="1" applyAlignment="1">
      <alignment horizontal="right" vertical="center" wrapText="1"/>
    </xf>
    <xf numFmtId="0" fontId="6" fillId="3" borderId="0" xfId="0" applyFont="1" applyFill="1"/>
    <xf numFmtId="2" fontId="13" fillId="4" borderId="5" xfId="0" applyNumberFormat="1" applyFont="1" applyFill="1" applyBorder="1" applyAlignment="1">
      <alignment horizontal="center"/>
    </xf>
    <xf numFmtId="165" fontId="5" fillId="4" borderId="0" xfId="0" applyNumberFormat="1" applyFont="1" applyFill="1"/>
  </cellXfs>
  <cellStyles count="5">
    <cellStyle name="Millares" xfId="2" builtinId="3"/>
    <cellStyle name="Normal" xfId="0" builtinId="0"/>
    <cellStyle name="Normal 2" xfId="1" xr:uid="{97157BD0-D856-41EB-B652-532883E337A9}"/>
    <cellStyle name="Percent 2" xfId="4" xr:uid="{FC1FCE06-E788-4C99-B66E-66FB2A607123}"/>
    <cellStyle name="Porcentaje" xfId="3" builtinId="5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662940</xdr:colOff>
      <xdr:row>10</xdr:row>
      <xdr:rowOff>0</xdr:rowOff>
    </xdr:from>
    <xdr:to>
      <xdr:col>5</xdr:col>
      <xdr:colOff>91440</xdr:colOff>
      <xdr:row>11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962ABDE4-3BD4-4AA1-9D17-1343DC67FC2A}"/>
            </a:ext>
          </a:extLst>
        </xdr:cNvPr>
        <xdr:cNvSpPr txBox="1">
          <a:spLocks noChangeArrowheads="1"/>
        </xdr:cNvSpPr>
      </xdr:nvSpPr>
      <xdr:spPr bwMode="auto">
        <a:xfrm>
          <a:off x="1424940" y="2339340"/>
          <a:ext cx="9144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662940</xdr:colOff>
      <xdr:row>7</xdr:row>
      <xdr:rowOff>129540</xdr:rowOff>
    </xdr:from>
    <xdr:to>
      <xdr:col>5</xdr:col>
      <xdr:colOff>91440</xdr:colOff>
      <xdr:row>8</xdr:row>
      <xdr:rowOff>129540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DC746B13-A988-4008-B6FD-2951000C2AA5}"/>
            </a:ext>
          </a:extLst>
        </xdr:cNvPr>
        <xdr:cNvSpPr txBox="1">
          <a:spLocks noChangeArrowheads="1"/>
        </xdr:cNvSpPr>
      </xdr:nvSpPr>
      <xdr:spPr bwMode="auto">
        <a:xfrm>
          <a:off x="1424940" y="1996440"/>
          <a:ext cx="9144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zoomScaleNormal="100" workbookViewId="0">
      <pane ySplit="4" topLeftCell="A5" activePane="bottomLeft" state="frozen"/>
      <selection pane="bottomLeft" activeCell="J31" sqref="J31"/>
    </sheetView>
  </sheetViews>
  <sheetFormatPr baseColWidth="10" defaultColWidth="8.85546875" defaultRowHeight="15" x14ac:dyDescent="0.25"/>
  <cols>
    <col min="1" max="1" width="27.42578125" style="7" customWidth="1"/>
    <col min="2" max="2" width="12.5703125" style="9" customWidth="1"/>
    <col min="3" max="3" width="8.85546875" style="12" customWidth="1"/>
    <col min="4" max="4" width="14" style="9" customWidth="1"/>
    <col min="5" max="5" width="13.5703125" style="12" customWidth="1"/>
    <col min="6" max="6" width="12.7109375" style="9" customWidth="1"/>
    <col min="7" max="7" width="9.28515625" style="12" customWidth="1"/>
    <col min="8" max="8" width="10.28515625" style="27" customWidth="1"/>
    <col min="9" max="9" width="11.42578125" style="7" customWidth="1"/>
    <col min="10" max="10" width="17.28515625" style="7" customWidth="1"/>
    <col min="11" max="11" width="29.28515625" style="7" customWidth="1"/>
    <col min="12" max="12" width="12.42578125" style="7" bestFit="1" customWidth="1"/>
    <col min="13" max="16384" width="8.85546875" style="7"/>
  </cols>
  <sheetData>
    <row r="1" spans="1:13" ht="20.25" x14ac:dyDescent="0.3">
      <c r="A1" s="21" t="s">
        <v>117</v>
      </c>
    </row>
    <row r="3" spans="1:13" x14ac:dyDescent="0.25">
      <c r="A3" s="33"/>
      <c r="B3" s="28">
        <v>2007</v>
      </c>
      <c r="C3" s="29" t="s">
        <v>20</v>
      </c>
      <c r="D3" s="28">
        <v>2006</v>
      </c>
      <c r="E3" s="29" t="s">
        <v>20</v>
      </c>
      <c r="F3" s="30" t="s">
        <v>18</v>
      </c>
      <c r="G3" s="29" t="s">
        <v>20</v>
      </c>
      <c r="H3" s="31"/>
      <c r="I3" s="32" t="s">
        <v>21</v>
      </c>
    </row>
    <row r="4" spans="1:13" x14ac:dyDescent="0.25">
      <c r="A4" s="33"/>
      <c r="B4" s="33"/>
      <c r="C4" s="34"/>
      <c r="D4" s="33"/>
      <c r="E4" s="34"/>
      <c r="F4" s="33"/>
      <c r="G4" s="35"/>
      <c r="H4" s="36" t="s">
        <v>21</v>
      </c>
      <c r="I4" s="37" t="s">
        <v>23</v>
      </c>
    </row>
    <row r="5" spans="1:13" ht="13.9" x14ac:dyDescent="0.25">
      <c r="A5" s="38" t="s">
        <v>8</v>
      </c>
      <c r="B5" s="39"/>
      <c r="C5" s="34"/>
      <c r="D5" s="39"/>
      <c r="E5" s="34"/>
      <c r="F5" s="39"/>
      <c r="G5" s="34"/>
      <c r="H5" s="31"/>
      <c r="I5" s="33"/>
    </row>
    <row r="6" spans="1:13" ht="13.9" x14ac:dyDescent="0.25">
      <c r="A6" s="40" t="s">
        <v>7</v>
      </c>
      <c r="B6" s="39"/>
      <c r="C6" s="34"/>
      <c r="D6" s="39"/>
      <c r="E6" s="34"/>
      <c r="F6" s="39"/>
      <c r="G6" s="41"/>
      <c r="H6" s="42"/>
      <c r="I6" s="43"/>
    </row>
    <row r="7" spans="1:13" ht="13.9" x14ac:dyDescent="0.25">
      <c r="A7" s="33" t="s">
        <v>31</v>
      </c>
      <c r="B7" s="39">
        <v>11159753</v>
      </c>
      <c r="C7" s="34">
        <f t="shared" ref="C7:C18" si="0">B7/$B$18</f>
        <v>5.1407138494283279E-2</v>
      </c>
      <c r="D7" s="39">
        <v>4842404</v>
      </c>
      <c r="E7" s="34">
        <f>D7/$D$18</f>
        <v>3.5895407699932193E-2</v>
      </c>
      <c r="F7" s="39">
        <f t="shared" ref="F7:F18" si="1">(B7+D7)/2</f>
        <v>8001078.5</v>
      </c>
      <c r="G7" s="41">
        <f>F7/$F$18</f>
        <v>4.5462115942713294E-2</v>
      </c>
      <c r="H7" s="42"/>
      <c r="I7" s="43"/>
    </row>
    <row r="8" spans="1:13" ht="13.9" x14ac:dyDescent="0.25">
      <c r="A8" s="33" t="s">
        <v>32</v>
      </c>
      <c r="B8" s="39">
        <v>2150</v>
      </c>
      <c r="C8" s="34">
        <f t="shared" si="0"/>
        <v>9.9039241964144781E-6</v>
      </c>
      <c r="D8" s="39">
        <v>19047539</v>
      </c>
      <c r="E8" s="34">
        <f>D8/$D$18</f>
        <v>0.14119416266907073</v>
      </c>
      <c r="F8" s="39">
        <f t="shared" si="1"/>
        <v>9524844.5</v>
      </c>
      <c r="G8" s="41">
        <f>F8/$F$18</f>
        <v>5.4120152051415953E-2</v>
      </c>
      <c r="H8" s="42"/>
      <c r="I8" s="43"/>
      <c r="K8" s="9"/>
    </row>
    <row r="9" spans="1:13" ht="13.9" x14ac:dyDescent="0.25">
      <c r="A9" s="40" t="s">
        <v>33</v>
      </c>
      <c r="B9" s="44">
        <f>B7+B8</f>
        <v>11161903</v>
      </c>
      <c r="C9" s="45">
        <f t="shared" si="0"/>
        <v>5.1417042418479691E-2</v>
      </c>
      <c r="D9" s="44">
        <f>D7+D8</f>
        <v>23889943</v>
      </c>
      <c r="E9" s="45">
        <f>D9/$D$18</f>
        <v>0.17708957036900291</v>
      </c>
      <c r="F9" s="44">
        <f t="shared" si="1"/>
        <v>17525923</v>
      </c>
      <c r="G9" s="46">
        <f>F9/$F$18</f>
        <v>9.9582267994129239E-2</v>
      </c>
      <c r="H9" s="47">
        <f>F9/-(EFECTIVO!B63/365)</f>
        <v>44.562389503755305</v>
      </c>
      <c r="I9" s="48">
        <f>C9*H9</f>
        <v>2.2912662713834009</v>
      </c>
    </row>
    <row r="10" spans="1:13" ht="13.9" x14ac:dyDescent="0.25">
      <c r="A10" s="40" t="s">
        <v>6</v>
      </c>
      <c r="B10" s="39">
        <v>120190887</v>
      </c>
      <c r="C10" s="34">
        <f t="shared" si="0"/>
        <v>0.55365648090596198</v>
      </c>
      <c r="D10" s="39">
        <v>65056503</v>
      </c>
      <c r="E10" s="34">
        <f t="shared" ref="E10:E18" si="2">D10/$D$18</f>
        <v>0.48224594616989036</v>
      </c>
      <c r="F10" s="39">
        <f t="shared" si="1"/>
        <v>92623695</v>
      </c>
      <c r="G10" s="41">
        <f t="shared" ref="G10:G17" si="3">F10/$F$18</f>
        <v>0.52628769498168448</v>
      </c>
      <c r="H10" s="42">
        <f>F10/(RESULTADOS!B4/365)</f>
        <v>62.521425480012923</v>
      </c>
      <c r="I10" s="48">
        <f t="shared" ref="I10:I16" si="4">C10*H10</f>
        <v>34.615392412488298</v>
      </c>
      <c r="K10" s="20"/>
    </row>
    <row r="11" spans="1:13" ht="13.9" x14ac:dyDescent="0.25">
      <c r="A11" s="38" t="s">
        <v>5</v>
      </c>
      <c r="B11" s="39"/>
      <c r="C11" s="34"/>
      <c r="D11" s="39"/>
      <c r="E11" s="34"/>
      <c r="F11" s="39"/>
      <c r="G11" s="41"/>
      <c r="H11" s="31"/>
      <c r="I11" s="48"/>
      <c r="K11" s="19"/>
    </row>
    <row r="12" spans="1:13" ht="13.9" x14ac:dyDescent="0.25">
      <c r="A12" s="33" t="s">
        <v>2</v>
      </c>
      <c r="B12" s="39">
        <v>15347715</v>
      </c>
      <c r="C12" s="34">
        <f>B12/$B$18</f>
        <v>7.0698886487522525E-2</v>
      </c>
      <c r="D12" s="39">
        <v>14244262</v>
      </c>
      <c r="E12" s="34">
        <f t="shared" si="2"/>
        <v>0.1055887926481664</v>
      </c>
      <c r="F12" s="39">
        <f t="shared" si="1"/>
        <v>14795988.5</v>
      </c>
      <c r="G12" s="41">
        <f t="shared" si="3"/>
        <v>8.4070784291649256E-2</v>
      </c>
      <c r="H12" s="42">
        <f>F12/(RESULTADOS!B6/365)</f>
        <v>12.907435084558363</v>
      </c>
      <c r="I12" s="48">
        <f t="shared" si="4"/>
        <v>0.91254128788825739</v>
      </c>
      <c r="K12" s="42"/>
    </row>
    <row r="13" spans="1:13" ht="13.9" x14ac:dyDescent="0.25">
      <c r="A13" s="33" t="s">
        <v>3</v>
      </c>
      <c r="B13" s="39">
        <v>341161</v>
      </c>
      <c r="C13" s="34">
        <f t="shared" si="0"/>
        <v>1.5715500850106787E-3</v>
      </c>
      <c r="D13" s="39">
        <v>1197206</v>
      </c>
      <c r="E13" s="34">
        <f t="shared" si="2"/>
        <v>8.8745584777323461E-3</v>
      </c>
      <c r="F13" s="39">
        <f t="shared" si="1"/>
        <v>769183.5</v>
      </c>
      <c r="G13" s="41">
        <f t="shared" si="3"/>
        <v>4.3704994843160221E-3</v>
      </c>
      <c r="H13" s="42">
        <f>F13/(RESULTADOS!B37/365)</f>
        <v>0.30000016156617959</v>
      </c>
      <c r="I13" s="48">
        <f>C13*H13</f>
        <v>4.7146527941254688E-4</v>
      </c>
      <c r="K13" s="31"/>
    </row>
    <row r="14" spans="1:13" ht="13.9" x14ac:dyDescent="0.25">
      <c r="A14" s="33" t="s">
        <v>4</v>
      </c>
      <c r="B14" s="39">
        <v>22369698</v>
      </c>
      <c r="C14" s="34">
        <f t="shared" si="0"/>
        <v>0.10304548525055095</v>
      </c>
      <c r="D14" s="39">
        <v>16186040</v>
      </c>
      <c r="E14" s="34">
        <f t="shared" si="2"/>
        <v>0.11998265837534632</v>
      </c>
      <c r="F14" s="39">
        <f t="shared" si="1"/>
        <v>19277869</v>
      </c>
      <c r="G14" s="41">
        <f t="shared" si="3"/>
        <v>0.1095368225179191</v>
      </c>
      <c r="H14" s="42">
        <v>43</v>
      </c>
      <c r="I14" s="48">
        <f t="shared" si="4"/>
        <v>4.4309558657736909</v>
      </c>
      <c r="K14" s="42"/>
    </row>
    <row r="15" spans="1:13" ht="13.9" x14ac:dyDescent="0.25">
      <c r="A15" s="33" t="s">
        <v>0</v>
      </c>
      <c r="B15" s="39">
        <v>19193754</v>
      </c>
      <c r="C15" s="34">
        <f t="shared" si="0"/>
        <v>8.8415574260756816E-2</v>
      </c>
      <c r="D15" s="39">
        <v>14951089</v>
      </c>
      <c r="E15" s="34">
        <f t="shared" si="2"/>
        <v>0.11082830660411058</v>
      </c>
      <c r="F15" s="39">
        <f t="shared" si="1"/>
        <v>17072421.5</v>
      </c>
      <c r="G15" s="41">
        <f t="shared" si="3"/>
        <v>9.7005473156633978E-2</v>
      </c>
      <c r="H15" s="42">
        <v>30</v>
      </c>
      <c r="I15" s="48">
        <f t="shared" si="4"/>
        <v>2.6524672278227044</v>
      </c>
      <c r="K15" s="42"/>
    </row>
    <row r="16" spans="1:13" x14ac:dyDescent="0.25">
      <c r="A16" s="33" t="s">
        <v>1</v>
      </c>
      <c r="B16" s="39">
        <v>28480550</v>
      </c>
      <c r="C16" s="34">
        <f t="shared" si="0"/>
        <v>0.13119498059171736</v>
      </c>
      <c r="D16" s="39">
        <v>23268062</v>
      </c>
      <c r="E16" s="34">
        <f t="shared" si="2"/>
        <v>0.172479737724754</v>
      </c>
      <c r="F16" s="39">
        <f t="shared" si="1"/>
        <v>25874306</v>
      </c>
      <c r="G16" s="41">
        <f t="shared" si="3"/>
        <v>0.1470177675808633</v>
      </c>
      <c r="H16" s="42">
        <v>30</v>
      </c>
      <c r="I16" s="48">
        <f t="shared" si="4"/>
        <v>3.9358494177515206</v>
      </c>
      <c r="K16" s="42"/>
      <c r="M16" s="10"/>
    </row>
    <row r="17" spans="1:12" ht="13.9" x14ac:dyDescent="0.25">
      <c r="A17" s="40" t="s">
        <v>16</v>
      </c>
      <c r="B17" s="44">
        <f>SUM(B12:B16)</f>
        <v>85732878</v>
      </c>
      <c r="C17" s="34">
        <f t="shared" si="0"/>
        <v>0.39492647667555836</v>
      </c>
      <c r="D17" s="44">
        <f>SUM(D12:D16)</f>
        <v>69846659</v>
      </c>
      <c r="E17" s="34">
        <f t="shared" si="2"/>
        <v>0.51775405383010964</v>
      </c>
      <c r="F17" s="44">
        <f t="shared" si="1"/>
        <v>77789768.5</v>
      </c>
      <c r="G17" s="41">
        <f t="shared" si="3"/>
        <v>0.44200134703138166</v>
      </c>
      <c r="J17" s="42">
        <f>F17/(RESULTADOS!B6/365)</f>
        <v>67.860716920439145</v>
      </c>
      <c r="K17" s="48">
        <f>C17*J17</f>
        <v>26.799993838066477</v>
      </c>
    </row>
    <row r="18" spans="1:12" ht="14.45" thickBot="1" x14ac:dyDescent="0.3">
      <c r="A18" s="50" t="s">
        <v>9</v>
      </c>
      <c r="B18" s="51">
        <f>B9+B10+B17</f>
        <v>217085668</v>
      </c>
      <c r="C18" s="34">
        <f t="shared" si="0"/>
        <v>1</v>
      </c>
      <c r="D18" s="51">
        <f>D6+D10+D17</f>
        <v>134903162</v>
      </c>
      <c r="E18" s="34">
        <f t="shared" si="2"/>
        <v>1</v>
      </c>
      <c r="F18" s="52">
        <f t="shared" si="1"/>
        <v>175994415</v>
      </c>
      <c r="G18" s="41">
        <f>G6+G10+G17</f>
        <v>0.96828904201306609</v>
      </c>
      <c r="H18" s="31"/>
      <c r="I18" s="49"/>
      <c r="K18" s="42"/>
    </row>
    <row r="19" spans="1:12" thickTop="1" thickBot="1" x14ac:dyDescent="0.3">
      <c r="A19" s="33"/>
      <c r="B19" s="39"/>
      <c r="C19" s="77"/>
      <c r="D19" s="39"/>
      <c r="E19" s="34"/>
      <c r="F19" s="39"/>
      <c r="G19" s="78"/>
      <c r="H19" s="53" t="s">
        <v>113</v>
      </c>
      <c r="I19" s="54">
        <f>SUM(I6:I16)</f>
        <v>48.838943948387282</v>
      </c>
      <c r="J19" s="95">
        <f>I9+I10+K17</f>
        <v>63.706652521938175</v>
      </c>
    </row>
    <row r="20" spans="1:12" ht="13.9" x14ac:dyDescent="0.25">
      <c r="A20" s="40" t="s">
        <v>10</v>
      </c>
      <c r="B20" s="39"/>
      <c r="C20" s="34"/>
      <c r="D20" s="39"/>
      <c r="E20" s="34"/>
      <c r="F20" s="55"/>
      <c r="G20" s="34"/>
      <c r="H20" s="56"/>
      <c r="I20" s="57"/>
      <c r="J20" s="3"/>
      <c r="K20" s="4"/>
      <c r="L20" s="2"/>
    </row>
    <row r="21" spans="1:12" x14ac:dyDescent="0.25">
      <c r="A21" s="58" t="s">
        <v>156</v>
      </c>
      <c r="B21" s="59">
        <v>7874205</v>
      </c>
      <c r="C21" s="60">
        <f t="shared" ref="C21:C27" si="5">B21/$B$27</f>
        <v>4.1419248680701876E-2</v>
      </c>
      <c r="D21" s="39">
        <v>6521256</v>
      </c>
      <c r="E21" s="34">
        <f>D21/$D$27</f>
        <v>3.8905415223896199E-2</v>
      </c>
      <c r="F21" s="39">
        <f t="shared" ref="F21:F26" si="6">(B21+D21)/2</f>
        <v>7197730.5</v>
      </c>
      <c r="G21" s="61">
        <f t="shared" ref="G21:G27" si="7">F21/$F$27</f>
        <v>4.024135862788486E-2</v>
      </c>
      <c r="H21" s="56">
        <v>0</v>
      </c>
      <c r="I21" s="48">
        <f t="shared" ref="I21:I26" si="8">C21*H21</f>
        <v>0</v>
      </c>
      <c r="J21" s="3"/>
      <c r="K21" s="4"/>
      <c r="L21" s="2"/>
    </row>
    <row r="22" spans="1:12" ht="13.9" x14ac:dyDescent="0.25">
      <c r="A22" s="58" t="s">
        <v>11</v>
      </c>
      <c r="B22" s="59">
        <v>10925263</v>
      </c>
      <c r="C22" s="60">
        <f t="shared" si="5"/>
        <v>5.7468174260013681E-2</v>
      </c>
      <c r="D22" s="39">
        <v>10054502</v>
      </c>
      <c r="E22" s="34">
        <f t="shared" ref="E22:E27" si="9">D22/$D$27</f>
        <v>5.9984545182629662E-2</v>
      </c>
      <c r="F22" s="39">
        <f t="shared" si="6"/>
        <v>10489882.5</v>
      </c>
      <c r="G22" s="61">
        <f t="shared" si="7"/>
        <v>5.864725327613661E-2</v>
      </c>
      <c r="H22" s="56">
        <v>60</v>
      </c>
      <c r="I22" s="48">
        <f t="shared" si="8"/>
        <v>3.4480904556008207</v>
      </c>
      <c r="J22" s="3"/>
      <c r="K22" s="4"/>
      <c r="L22" s="2"/>
    </row>
    <row r="23" spans="1:12" x14ac:dyDescent="0.25">
      <c r="A23" s="58" t="s">
        <v>12</v>
      </c>
      <c r="B23" s="59">
        <v>15255518</v>
      </c>
      <c r="C23" s="60">
        <f t="shared" si="5"/>
        <v>8.0245827203498474E-2</v>
      </c>
      <c r="D23" s="39">
        <v>13245660</v>
      </c>
      <c r="E23" s="34">
        <f t="shared" si="9"/>
        <v>7.9022799015182499E-2</v>
      </c>
      <c r="F23" s="39">
        <f t="shared" si="6"/>
        <v>14250589</v>
      </c>
      <c r="G23" s="61">
        <f t="shared" si="7"/>
        <v>7.9672761102626874E-2</v>
      </c>
      <c r="H23" s="56">
        <v>60</v>
      </c>
      <c r="I23" s="48">
        <f t="shared" si="8"/>
        <v>4.8147496322099084</v>
      </c>
      <c r="J23" s="3"/>
      <c r="K23" s="4"/>
      <c r="L23" s="2"/>
    </row>
    <row r="24" spans="1:12" ht="13.9" x14ac:dyDescent="0.25">
      <c r="A24" s="58" t="s">
        <v>13</v>
      </c>
      <c r="B24" s="59">
        <v>42225789</v>
      </c>
      <c r="C24" s="60">
        <f t="shared" si="5"/>
        <v>0.22211263934960365</v>
      </c>
      <c r="D24" s="39">
        <f>B24*0.8</f>
        <v>33780631.200000003</v>
      </c>
      <c r="E24" s="34">
        <f t="shared" si="9"/>
        <v>0.20153318369364784</v>
      </c>
      <c r="F24" s="39">
        <f t="shared" si="6"/>
        <v>38003210.100000001</v>
      </c>
      <c r="G24" s="61">
        <f t="shared" si="7"/>
        <v>0.21246986208291019</v>
      </c>
      <c r="H24" s="56">
        <v>50</v>
      </c>
      <c r="I24" s="48">
        <f t="shared" si="8"/>
        <v>11.105631967480182</v>
      </c>
      <c r="J24" s="3"/>
      <c r="K24" s="4"/>
      <c r="L24" s="2"/>
    </row>
    <row r="25" spans="1:12" ht="13.9" x14ac:dyDescent="0.25">
      <c r="A25" s="58" t="s">
        <v>14</v>
      </c>
      <c r="B25" s="59">
        <v>8728831</v>
      </c>
      <c r="C25" s="60">
        <f>B25/$B$27</f>
        <v>4.5914682419472143E-2</v>
      </c>
      <c r="D25" s="39">
        <f>B25*0.88</f>
        <v>7681371.2800000003</v>
      </c>
      <c r="E25" s="34">
        <f t="shared" si="9"/>
        <v>4.5826592168335525E-2</v>
      </c>
      <c r="F25" s="39">
        <f t="shared" si="6"/>
        <v>8205101.1400000006</v>
      </c>
      <c r="G25" s="61">
        <f t="shared" si="7"/>
        <v>4.5873406562361142E-2</v>
      </c>
      <c r="H25" s="56">
        <v>30</v>
      </c>
      <c r="I25" s="48">
        <f t="shared" si="8"/>
        <v>1.3774404725841642</v>
      </c>
      <c r="J25" s="3"/>
      <c r="K25" s="4"/>
      <c r="L25" s="2"/>
    </row>
    <row r="26" spans="1:12" ht="13.9" x14ac:dyDescent="0.25">
      <c r="A26" s="58" t="s">
        <v>15</v>
      </c>
      <c r="B26" s="62">
        <v>105100192</v>
      </c>
      <c r="C26" s="60">
        <f t="shared" si="5"/>
        <v>0.55283942808671016</v>
      </c>
      <c r="D26" s="33">
        <v>96334788</v>
      </c>
      <c r="E26" s="34">
        <f t="shared" si="9"/>
        <v>0.5747274647163082</v>
      </c>
      <c r="F26" s="39">
        <f t="shared" si="6"/>
        <v>100717490</v>
      </c>
      <c r="G26" s="61">
        <f t="shared" si="7"/>
        <v>0.56309535834808033</v>
      </c>
      <c r="H26" s="56">
        <v>45</v>
      </c>
      <c r="I26" s="48">
        <f t="shared" si="8"/>
        <v>24.877774263901959</v>
      </c>
      <c r="J26" s="3"/>
      <c r="K26" s="82"/>
      <c r="L26" s="2"/>
    </row>
    <row r="27" spans="1:12" ht="14.45" thickBot="1" x14ac:dyDescent="0.3">
      <c r="A27" s="63" t="s">
        <v>17</v>
      </c>
      <c r="B27" s="64">
        <f>SUM(B21:B26)</f>
        <v>190109798</v>
      </c>
      <c r="C27" s="60">
        <f t="shared" si="5"/>
        <v>1</v>
      </c>
      <c r="D27" s="65">
        <f>SUM(D21:D26)</f>
        <v>167618208.48000002</v>
      </c>
      <c r="E27" s="34">
        <f t="shared" si="9"/>
        <v>1</v>
      </c>
      <c r="F27" s="65">
        <f>SUM(F21:F26)</f>
        <v>178864003.24000001</v>
      </c>
      <c r="G27" s="61">
        <f t="shared" si="7"/>
        <v>1</v>
      </c>
      <c r="H27" s="56"/>
      <c r="I27" s="66"/>
      <c r="K27" s="5"/>
      <c r="L27" s="2"/>
    </row>
    <row r="28" spans="1:12" thickTop="1" thickBot="1" x14ac:dyDescent="0.3">
      <c r="A28" s="63" t="s">
        <v>111</v>
      </c>
      <c r="B28" s="71">
        <f>B18-B27</f>
        <v>26975870</v>
      </c>
      <c r="C28" s="72"/>
      <c r="D28" s="71">
        <f>D18-D27</f>
        <v>-32715046.480000019</v>
      </c>
      <c r="E28" s="72"/>
      <c r="F28" s="71">
        <f>F18-F27</f>
        <v>-2869588.2400000095</v>
      </c>
      <c r="G28" s="76"/>
      <c r="H28" s="75" t="s">
        <v>22</v>
      </c>
      <c r="I28" s="67">
        <f>SUM(I21:I26)</f>
        <v>45.623686791777033</v>
      </c>
      <c r="J28" s="95">
        <f>J19/I28</f>
        <v>1.3963503829203983</v>
      </c>
      <c r="K28" s="5"/>
      <c r="L28" s="2"/>
    </row>
    <row r="29" spans="1:12" ht="36.75" thickBot="1" x14ac:dyDescent="0.3">
      <c r="A29" s="50" t="s">
        <v>19</v>
      </c>
      <c r="B29" s="69">
        <f>B18/B27</f>
        <v>1.1418962635476579</v>
      </c>
      <c r="C29" s="73"/>
      <c r="D29" s="69">
        <f>D18/D27</f>
        <v>0.80482402970018896</v>
      </c>
      <c r="E29" s="73"/>
      <c r="F29" s="69">
        <f>F18/F27</f>
        <v>0.98395659166730387</v>
      </c>
      <c r="G29" s="77"/>
      <c r="H29" s="112" t="s">
        <v>28</v>
      </c>
      <c r="I29" s="68">
        <f>B18/B27</f>
        <v>1.1418962635476579</v>
      </c>
      <c r="J29" s="114"/>
    </row>
    <row r="30" spans="1:12" ht="36.75" thickBot="1" x14ac:dyDescent="0.3">
      <c r="A30" s="50" t="s">
        <v>112</v>
      </c>
      <c r="B30" s="69">
        <f t="shared" ref="B30:D30" si="10">(B9+B10)/B27</f>
        <v>0.69093119545579651</v>
      </c>
      <c r="C30" s="69"/>
      <c r="D30" s="69">
        <f t="shared" si="10"/>
        <v>0.53064906734528772</v>
      </c>
      <c r="E30" s="69"/>
      <c r="F30" s="69">
        <f>(F9+F10)/F27</f>
        <v>0.61582887559662336</v>
      </c>
      <c r="G30" s="111"/>
      <c r="H30" s="112" t="s">
        <v>26</v>
      </c>
      <c r="I30" s="68">
        <f>I19/I28</f>
        <v>1.070473418145369</v>
      </c>
      <c r="J30" s="115"/>
    </row>
    <row r="31" spans="1:12" ht="15.75" thickBot="1" x14ac:dyDescent="0.3">
      <c r="A31" s="33"/>
      <c r="C31" s="34"/>
      <c r="D31" s="39"/>
      <c r="E31" s="34"/>
      <c r="F31" s="39"/>
      <c r="G31" s="74"/>
      <c r="H31" s="70" t="s">
        <v>27</v>
      </c>
      <c r="I31" s="96">
        <f>I29-I30</f>
        <v>7.1422845402288937E-2</v>
      </c>
      <c r="J31" s="113" t="str">
        <f>IF(I31&gt;0, L34,L35)</f>
        <v>"SOLVENTE"</v>
      </c>
    </row>
    <row r="32" spans="1:12" x14ac:dyDescent="0.25">
      <c r="A32" s="33"/>
      <c r="C32" s="34"/>
      <c r="D32" s="39"/>
      <c r="E32" s="34"/>
      <c r="F32" s="39"/>
      <c r="G32" s="34"/>
      <c r="H32" s="79"/>
      <c r="I32" s="80"/>
      <c r="J32" s="8"/>
      <c r="K32" s="83">
        <f>B18*I31</f>
        <v>15504876.104616623</v>
      </c>
      <c r="L32" s="7" t="s">
        <v>114</v>
      </c>
    </row>
    <row r="33" spans="1:12" x14ac:dyDescent="0.25">
      <c r="A33" s="33"/>
      <c r="C33" s="34"/>
      <c r="D33" s="39"/>
      <c r="E33" s="34"/>
      <c r="F33" s="39"/>
      <c r="G33" s="34"/>
      <c r="H33" s="79"/>
      <c r="I33" s="80"/>
      <c r="J33" s="8"/>
      <c r="K33" s="81"/>
      <c r="L33" s="11"/>
    </row>
    <row r="34" spans="1:12" x14ac:dyDescent="0.25">
      <c r="A34" s="33"/>
      <c r="C34" s="34"/>
      <c r="D34" s="39"/>
      <c r="E34" s="34"/>
      <c r="F34" s="39"/>
      <c r="G34" s="34"/>
      <c r="H34" s="79"/>
      <c r="I34" s="80"/>
      <c r="J34" s="8"/>
      <c r="K34" s="9"/>
      <c r="L34" s="8" t="s">
        <v>29</v>
      </c>
    </row>
    <row r="35" spans="1:12" x14ac:dyDescent="0.25">
      <c r="L35" s="8" t="s">
        <v>30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A823A-CC91-44EC-95D1-5DFA257D2AC5}">
  <dimension ref="A1:I57"/>
  <sheetViews>
    <sheetView topLeftCell="A17" zoomScaleNormal="100" workbookViewId="0">
      <selection activeCell="B48" sqref="B48"/>
    </sheetView>
  </sheetViews>
  <sheetFormatPr baseColWidth="10" defaultRowHeight="15" x14ac:dyDescent="0.25"/>
  <cols>
    <col min="1" max="1" width="6.140625" customWidth="1"/>
    <col min="2" max="2" width="65.85546875" style="88" bestFit="1" customWidth="1"/>
    <col min="3" max="3" width="4.42578125" customWidth="1"/>
    <col min="4" max="4" width="14.42578125" customWidth="1"/>
    <col min="5" max="5" width="8.5703125" customWidth="1"/>
    <col min="9" max="9" width="18.7109375" bestFit="1" customWidth="1"/>
  </cols>
  <sheetData>
    <row r="1" spans="1:5" ht="20.25" x14ac:dyDescent="0.3">
      <c r="A1" s="21" t="s">
        <v>115</v>
      </c>
    </row>
    <row r="2" spans="1:5" x14ac:dyDescent="0.25">
      <c r="A2" s="23"/>
      <c r="B2" s="23"/>
      <c r="C2" s="84"/>
      <c r="D2" s="84"/>
      <c r="E2" s="84"/>
    </row>
    <row r="3" spans="1:5" x14ac:dyDescent="0.25">
      <c r="A3" s="23" t="s">
        <v>144</v>
      </c>
      <c r="B3" s="23"/>
      <c r="C3" s="84"/>
      <c r="D3" s="84"/>
      <c r="E3" s="84"/>
    </row>
    <row r="4" spans="1:5" x14ac:dyDescent="0.25">
      <c r="A4" s="23"/>
      <c r="B4" s="23"/>
      <c r="C4" s="84"/>
      <c r="D4" s="84"/>
      <c r="E4" s="84"/>
    </row>
    <row r="5" spans="1:5" x14ac:dyDescent="0.25">
      <c r="A5" s="24" t="s">
        <v>145</v>
      </c>
      <c r="B5" s="24"/>
      <c r="C5" s="85"/>
      <c r="D5" s="85"/>
      <c r="E5" s="85"/>
    </row>
    <row r="6" spans="1:5" x14ac:dyDescent="0.25">
      <c r="A6" s="23" t="s">
        <v>118</v>
      </c>
      <c r="B6" s="87"/>
      <c r="C6" s="86"/>
      <c r="D6" s="86"/>
      <c r="E6" s="86"/>
    </row>
    <row r="7" spans="1:5" x14ac:dyDescent="0.25">
      <c r="A7" s="15" t="s">
        <v>119</v>
      </c>
      <c r="B7" s="87"/>
      <c r="C7" s="3"/>
      <c r="D7" s="3"/>
      <c r="E7" s="3"/>
    </row>
    <row r="8" spans="1:5" x14ac:dyDescent="0.25">
      <c r="A8" s="3"/>
      <c r="B8" s="87" t="s">
        <v>120</v>
      </c>
      <c r="C8" s="3"/>
      <c r="D8" s="2">
        <v>397957005</v>
      </c>
      <c r="E8" s="3"/>
    </row>
    <row r="9" spans="1:5" x14ac:dyDescent="0.25">
      <c r="A9" s="3"/>
      <c r="B9" s="87" t="s">
        <v>121</v>
      </c>
      <c r="C9" s="3"/>
      <c r="D9" s="1">
        <v>4769358</v>
      </c>
      <c r="E9" s="3"/>
    </row>
    <row r="10" spans="1:5" x14ac:dyDescent="0.25">
      <c r="A10" s="3"/>
      <c r="B10" s="87" t="s">
        <v>122</v>
      </c>
      <c r="C10" s="3"/>
      <c r="D10" s="1">
        <v>0</v>
      </c>
      <c r="E10" s="3"/>
    </row>
    <row r="11" spans="1:5" x14ac:dyDescent="0.25">
      <c r="A11" s="3"/>
      <c r="B11" s="3" t="s">
        <v>147</v>
      </c>
      <c r="C11" s="3"/>
      <c r="D11" s="1">
        <v>402726363</v>
      </c>
    </row>
    <row r="12" spans="1:5" x14ac:dyDescent="0.25">
      <c r="A12" s="15" t="s">
        <v>123</v>
      </c>
      <c r="B12" s="87"/>
      <c r="C12" s="3"/>
      <c r="E12" s="3"/>
    </row>
    <row r="13" spans="1:5" x14ac:dyDescent="0.25">
      <c r="A13" s="3"/>
      <c r="B13" s="87" t="s">
        <v>81</v>
      </c>
      <c r="C13" s="3"/>
      <c r="D13" s="2">
        <v>816416</v>
      </c>
      <c r="E13" s="3"/>
    </row>
    <row r="14" spans="1:5" x14ac:dyDescent="0.25">
      <c r="A14" s="3"/>
      <c r="B14" s="87" t="s">
        <v>124</v>
      </c>
      <c r="C14" s="3"/>
      <c r="D14" s="2">
        <v>80977294</v>
      </c>
      <c r="E14" s="3"/>
    </row>
    <row r="15" spans="1:5" x14ac:dyDescent="0.25">
      <c r="A15" s="3"/>
      <c r="B15" s="87" t="s">
        <v>79</v>
      </c>
      <c r="C15" s="3"/>
      <c r="D15" s="2">
        <v>1801026</v>
      </c>
      <c r="E15" s="3"/>
    </row>
    <row r="16" spans="1:5" x14ac:dyDescent="0.25">
      <c r="A16" s="3"/>
      <c r="B16" s="87" t="s">
        <v>125</v>
      </c>
      <c r="C16" s="3"/>
      <c r="D16" s="2">
        <v>120190887</v>
      </c>
      <c r="E16" s="3"/>
    </row>
    <row r="17" spans="1:5" x14ac:dyDescent="0.25">
      <c r="A17" s="3"/>
      <c r="B17" s="87" t="s">
        <v>126</v>
      </c>
      <c r="C17" s="3"/>
      <c r="D17" s="2">
        <v>128044</v>
      </c>
      <c r="E17" s="3"/>
    </row>
    <row r="18" spans="1:5" x14ac:dyDescent="0.25">
      <c r="A18" s="3"/>
      <c r="B18" s="87" t="s">
        <v>127</v>
      </c>
      <c r="C18" s="3"/>
      <c r="D18" s="1">
        <v>11161903</v>
      </c>
      <c r="E18" s="3"/>
    </row>
    <row r="19" spans="1:5" x14ac:dyDescent="0.25">
      <c r="A19" s="3"/>
      <c r="B19" s="3" t="s">
        <v>148</v>
      </c>
      <c r="C19" s="3"/>
      <c r="D19" s="1">
        <v>215075570</v>
      </c>
    </row>
    <row r="20" spans="1:5" x14ac:dyDescent="0.25">
      <c r="A20" s="3"/>
      <c r="B20" s="87"/>
      <c r="C20" s="3"/>
      <c r="E20" s="3"/>
    </row>
    <row r="21" spans="1:5" ht="15.75" thickBot="1" x14ac:dyDescent="0.3">
      <c r="A21" s="15" t="s">
        <v>149</v>
      </c>
      <c r="B21" s="87"/>
      <c r="C21" s="3"/>
      <c r="D21" s="16">
        <v>617801933</v>
      </c>
      <c r="E21" s="3"/>
    </row>
    <row r="22" spans="1:5" ht="15.75" thickTop="1" x14ac:dyDescent="0.25">
      <c r="A22" s="3"/>
      <c r="B22" s="87"/>
      <c r="C22" s="3"/>
      <c r="E22" s="3"/>
    </row>
    <row r="23" spans="1:5" x14ac:dyDescent="0.25">
      <c r="A23" s="23" t="s">
        <v>128</v>
      </c>
      <c r="B23" s="87"/>
      <c r="C23" s="86"/>
      <c r="D23" s="2"/>
      <c r="E23" s="86"/>
    </row>
    <row r="24" spans="1:5" x14ac:dyDescent="0.25">
      <c r="A24" s="15" t="s">
        <v>129</v>
      </c>
      <c r="B24" s="87"/>
      <c r="C24" s="3"/>
      <c r="E24" s="3"/>
    </row>
    <row r="25" spans="1:5" x14ac:dyDescent="0.25">
      <c r="A25" s="3"/>
      <c r="B25" s="87" t="s">
        <v>130</v>
      </c>
      <c r="C25" s="3"/>
      <c r="D25" s="2">
        <v>69633596</v>
      </c>
      <c r="E25" s="3"/>
    </row>
    <row r="26" spans="1:5" x14ac:dyDescent="0.25">
      <c r="A26" s="3"/>
      <c r="B26" s="87" t="s">
        <v>101</v>
      </c>
      <c r="C26" s="3"/>
      <c r="D26" s="2">
        <v>13405</v>
      </c>
      <c r="E26" s="3"/>
    </row>
    <row r="27" spans="1:5" x14ac:dyDescent="0.25">
      <c r="A27" s="3"/>
      <c r="B27" s="87" t="s">
        <v>131</v>
      </c>
      <c r="C27" s="3"/>
      <c r="D27" s="2">
        <v>206308</v>
      </c>
      <c r="E27" s="3"/>
    </row>
    <row r="28" spans="1:5" x14ac:dyDescent="0.25">
      <c r="A28" s="3"/>
      <c r="B28" s="87" t="s">
        <v>132</v>
      </c>
      <c r="C28" s="3"/>
      <c r="D28" s="2"/>
      <c r="E28" s="3"/>
    </row>
    <row r="29" spans="1:5" x14ac:dyDescent="0.25">
      <c r="A29" s="3"/>
      <c r="B29" s="87" t="s">
        <v>133</v>
      </c>
      <c r="C29" s="3"/>
      <c r="D29" s="2">
        <v>6963360</v>
      </c>
      <c r="E29" s="3"/>
    </row>
    <row r="30" spans="1:5" x14ac:dyDescent="0.25">
      <c r="A30" s="3"/>
      <c r="B30" s="3" t="s">
        <v>134</v>
      </c>
      <c r="E30" s="3"/>
    </row>
    <row r="31" spans="1:5" x14ac:dyDescent="0.25">
      <c r="A31" s="3"/>
      <c r="B31" s="3" t="s">
        <v>135</v>
      </c>
      <c r="C31" s="3"/>
      <c r="D31" s="2">
        <v>119593551</v>
      </c>
      <c r="E31" s="3"/>
    </row>
    <row r="32" spans="1:5" x14ac:dyDescent="0.25">
      <c r="A32" s="3"/>
      <c r="B32" s="3"/>
      <c r="C32" s="3"/>
      <c r="D32" s="2"/>
      <c r="E32" s="3"/>
    </row>
    <row r="33" spans="1:9" x14ac:dyDescent="0.25">
      <c r="A33" s="3"/>
      <c r="B33" s="3" t="s">
        <v>136</v>
      </c>
      <c r="D33" s="2">
        <v>155762882</v>
      </c>
      <c r="E33" s="3"/>
    </row>
    <row r="34" spans="1:9" x14ac:dyDescent="0.25">
      <c r="A34" s="3"/>
      <c r="B34" s="87" t="s">
        <v>68</v>
      </c>
      <c r="C34" s="3"/>
      <c r="D34" s="1">
        <v>-672675</v>
      </c>
      <c r="E34" s="3"/>
      <c r="G34" s="89"/>
      <c r="H34" s="89"/>
      <c r="I34" s="90"/>
    </row>
    <row r="35" spans="1:9" x14ac:dyDescent="0.25">
      <c r="A35" s="3"/>
      <c r="B35" s="3" t="s">
        <v>150</v>
      </c>
      <c r="C35" s="3"/>
      <c r="D35" s="1">
        <v>351500427</v>
      </c>
      <c r="G35" s="90"/>
      <c r="H35" s="90"/>
      <c r="I35" s="90"/>
    </row>
    <row r="36" spans="1:9" x14ac:dyDescent="0.25">
      <c r="A36" s="23" t="s">
        <v>137</v>
      </c>
      <c r="B36" s="87"/>
      <c r="C36" s="86"/>
      <c r="E36" s="86"/>
      <c r="G36" s="90"/>
      <c r="H36" s="90"/>
      <c r="I36" s="91"/>
    </row>
    <row r="37" spans="1:9" x14ac:dyDescent="0.25">
      <c r="A37" s="3"/>
      <c r="B37" s="87" t="s">
        <v>138</v>
      </c>
      <c r="C37" s="3"/>
      <c r="D37" s="2">
        <v>7256889</v>
      </c>
      <c r="E37" s="3"/>
    </row>
    <row r="38" spans="1:9" x14ac:dyDescent="0.25">
      <c r="A38" s="3"/>
      <c r="B38" s="3" t="s">
        <v>139</v>
      </c>
      <c r="D38" s="2">
        <v>0</v>
      </c>
      <c r="E38" s="3"/>
    </row>
    <row r="39" spans="1:9" x14ac:dyDescent="0.25">
      <c r="A39" s="3"/>
      <c r="B39" s="87" t="s">
        <v>84</v>
      </c>
      <c r="C39" s="3"/>
      <c r="D39" s="2">
        <v>34200000</v>
      </c>
      <c r="E39" s="3"/>
    </row>
    <row r="40" spans="1:9" x14ac:dyDescent="0.25">
      <c r="A40" s="3"/>
      <c r="B40" s="87" t="s">
        <v>140</v>
      </c>
      <c r="C40" s="3"/>
      <c r="D40" s="1">
        <v>34734819</v>
      </c>
      <c r="E40" s="3"/>
    </row>
    <row r="41" spans="1:9" x14ac:dyDescent="0.25">
      <c r="A41" s="3"/>
      <c r="B41" s="87" t="e">
        <f>LOG(I36,H37)</f>
        <v>#NUM!</v>
      </c>
      <c r="C41" s="3"/>
      <c r="D41" s="2"/>
      <c r="E41" s="3"/>
    </row>
    <row r="42" spans="1:9" x14ac:dyDescent="0.25">
      <c r="A42" s="3"/>
      <c r="B42" s="3" t="s">
        <v>151</v>
      </c>
      <c r="C42" s="3"/>
      <c r="D42" s="1">
        <v>76191708</v>
      </c>
    </row>
    <row r="43" spans="1:9" x14ac:dyDescent="0.25">
      <c r="A43" s="15" t="s">
        <v>141</v>
      </c>
      <c r="B43" s="87"/>
      <c r="C43" s="3"/>
      <c r="D43" s="2"/>
      <c r="E43" s="3"/>
    </row>
    <row r="44" spans="1:9" x14ac:dyDescent="0.25">
      <c r="A44" s="3"/>
      <c r="B44" s="87" t="s">
        <v>142</v>
      </c>
      <c r="C44" s="3"/>
      <c r="E44" s="3"/>
    </row>
    <row r="45" spans="1:9" x14ac:dyDescent="0.25">
      <c r="A45" s="3"/>
      <c r="B45" s="3" t="s">
        <v>139</v>
      </c>
      <c r="D45" s="2">
        <v>7874205</v>
      </c>
      <c r="E45" s="3"/>
    </row>
    <row r="46" spans="1:9" x14ac:dyDescent="0.25">
      <c r="A46" s="3"/>
      <c r="B46" s="87" t="s">
        <v>140</v>
      </c>
      <c r="C46" s="3"/>
      <c r="D46" s="2">
        <v>0</v>
      </c>
      <c r="E46" s="3"/>
    </row>
    <row r="47" spans="1:9" x14ac:dyDescent="0.25">
      <c r="A47" s="3"/>
      <c r="B47" s="87" t="s">
        <v>11</v>
      </c>
      <c r="C47" s="3"/>
      <c r="D47" s="2">
        <v>10925263</v>
      </c>
      <c r="E47" s="3"/>
    </row>
    <row r="48" spans="1:9" x14ac:dyDescent="0.25">
      <c r="A48" s="3"/>
      <c r="B48" s="87" t="s">
        <v>12</v>
      </c>
      <c r="C48" s="3"/>
      <c r="D48" s="2">
        <v>15255518</v>
      </c>
      <c r="E48" s="3"/>
    </row>
    <row r="49" spans="1:5" x14ac:dyDescent="0.25">
      <c r="A49" s="3"/>
      <c r="B49" s="87" t="s">
        <v>13</v>
      </c>
      <c r="C49" s="3"/>
      <c r="D49" s="2">
        <v>42225789</v>
      </c>
      <c r="E49" s="3"/>
    </row>
    <row r="50" spans="1:5" x14ac:dyDescent="0.25">
      <c r="A50" s="3"/>
      <c r="B50" s="87" t="s">
        <v>14</v>
      </c>
      <c r="C50" s="3"/>
      <c r="D50" s="2">
        <v>8728831</v>
      </c>
      <c r="E50" s="3"/>
    </row>
    <row r="51" spans="1:5" x14ac:dyDescent="0.25">
      <c r="A51" s="3"/>
      <c r="B51" s="87" t="s">
        <v>15</v>
      </c>
      <c r="C51" s="3"/>
      <c r="D51" s="1">
        <v>105100192</v>
      </c>
      <c r="E51" s="3"/>
    </row>
    <row r="52" spans="1:5" x14ac:dyDescent="0.25">
      <c r="A52" s="3"/>
      <c r="B52" s="3" t="s">
        <v>152</v>
      </c>
      <c r="C52" s="3"/>
      <c r="D52" s="1">
        <v>190109798</v>
      </c>
    </row>
    <row r="53" spans="1:5" x14ac:dyDescent="0.25">
      <c r="A53" s="3"/>
      <c r="B53" s="3" t="s">
        <v>153</v>
      </c>
      <c r="C53" s="3"/>
      <c r="D53" s="1">
        <v>266301506</v>
      </c>
    </row>
    <row r="54" spans="1:5" ht="15.75" thickBot="1" x14ac:dyDescent="0.3">
      <c r="A54" s="15" t="s">
        <v>154</v>
      </c>
      <c r="B54" s="87"/>
      <c r="C54" s="3"/>
      <c r="D54" s="16">
        <v>617801933</v>
      </c>
      <c r="E54" s="3"/>
    </row>
    <row r="55" spans="1:5" ht="15.75" thickTop="1" x14ac:dyDescent="0.25">
      <c r="A55" s="3"/>
      <c r="B55" s="87"/>
      <c r="C55" s="3"/>
      <c r="D55" s="2"/>
      <c r="E55" s="3"/>
    </row>
    <row r="56" spans="1:5" x14ac:dyDescent="0.25">
      <c r="A56" s="3" t="s">
        <v>143</v>
      </c>
      <c r="B56" s="87"/>
      <c r="C56" s="3"/>
      <c r="E56" s="3"/>
    </row>
    <row r="57" spans="1:5" x14ac:dyDescent="0.25">
      <c r="D57" s="2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E2DE1-CFE7-4A9F-B569-DDC5FDA536E7}">
  <dimension ref="A1:C37"/>
  <sheetViews>
    <sheetView topLeftCell="A29" workbookViewId="0">
      <selection activeCell="C7" sqref="C7"/>
    </sheetView>
  </sheetViews>
  <sheetFormatPr baseColWidth="10" defaultRowHeight="15" x14ac:dyDescent="0.25"/>
  <cols>
    <col min="1" max="1" width="72.140625" customWidth="1"/>
    <col min="2" max="2" width="18" customWidth="1"/>
  </cols>
  <sheetData>
    <row r="1" spans="1:2" ht="20.25" x14ac:dyDescent="0.3">
      <c r="A1" s="21" t="s">
        <v>115</v>
      </c>
    </row>
    <row r="2" spans="1:2" x14ac:dyDescent="0.25">
      <c r="A2" t="s">
        <v>24</v>
      </c>
    </row>
    <row r="3" spans="1:2" x14ac:dyDescent="0.25">
      <c r="A3" s="6" t="s">
        <v>57</v>
      </c>
      <c r="B3" s="9"/>
    </row>
    <row r="4" spans="1:2" x14ac:dyDescent="0.25">
      <c r="A4" s="3" t="s">
        <v>34</v>
      </c>
      <c r="B4" s="2">
        <v>540737010</v>
      </c>
    </row>
    <row r="5" spans="1:2" x14ac:dyDescent="0.25">
      <c r="A5" s="3"/>
      <c r="B5" s="2"/>
    </row>
    <row r="6" spans="1:2" x14ac:dyDescent="0.25">
      <c r="A6" s="3" t="s">
        <v>35</v>
      </c>
      <c r="B6" s="1">
        <v>418405033</v>
      </c>
    </row>
    <row r="7" spans="1:2" x14ac:dyDescent="0.25">
      <c r="A7" s="3"/>
      <c r="B7" s="2"/>
    </row>
    <row r="8" spans="1:2" x14ac:dyDescent="0.25">
      <c r="A8" s="3" t="s">
        <v>36</v>
      </c>
      <c r="B8" s="1">
        <v>122331977</v>
      </c>
    </row>
    <row r="9" spans="1:2" x14ac:dyDescent="0.25">
      <c r="A9" s="3"/>
      <c r="B9" s="2"/>
    </row>
    <row r="10" spans="1:2" x14ac:dyDescent="0.25">
      <c r="A10" s="14" t="s">
        <v>37</v>
      </c>
      <c r="B10" s="2"/>
    </row>
    <row r="11" spans="1:2" x14ac:dyDescent="0.25">
      <c r="A11" s="3" t="s">
        <v>49</v>
      </c>
      <c r="B11" s="2">
        <v>40858899</v>
      </c>
    </row>
    <row r="12" spans="1:2" x14ac:dyDescent="0.25">
      <c r="A12" s="3" t="s">
        <v>50</v>
      </c>
      <c r="B12" s="2">
        <v>24982689</v>
      </c>
    </row>
    <row r="13" spans="1:2" x14ac:dyDescent="0.25">
      <c r="A13" s="3" t="s">
        <v>51</v>
      </c>
      <c r="B13" s="2">
        <v>-9211</v>
      </c>
    </row>
    <row r="14" spans="1:2" x14ac:dyDescent="0.25">
      <c r="A14" s="3" t="s">
        <v>58</v>
      </c>
      <c r="B14" s="13">
        <v>65832377</v>
      </c>
    </row>
    <row r="15" spans="1:2" x14ac:dyDescent="0.25">
      <c r="A15" s="3"/>
      <c r="B15" s="2"/>
    </row>
    <row r="16" spans="1:2" x14ac:dyDescent="0.25">
      <c r="A16" s="3" t="s">
        <v>38</v>
      </c>
      <c r="B16" s="1">
        <v>56499600</v>
      </c>
    </row>
    <row r="17" spans="1:3" x14ac:dyDescent="0.25">
      <c r="A17" s="3"/>
      <c r="B17" s="2"/>
    </row>
    <row r="18" spans="1:3" x14ac:dyDescent="0.25">
      <c r="A18" s="3" t="s">
        <v>39</v>
      </c>
      <c r="B18" s="2">
        <v>802404</v>
      </c>
    </row>
    <row r="19" spans="1:3" x14ac:dyDescent="0.25">
      <c r="A19" s="3" t="s">
        <v>40</v>
      </c>
      <c r="B19" s="2">
        <v>-7338490</v>
      </c>
    </row>
    <row r="20" spans="1:3" x14ac:dyDescent="0.25">
      <c r="A20" s="3" t="s">
        <v>41</v>
      </c>
      <c r="B20" s="2">
        <v>850632</v>
      </c>
    </row>
    <row r="21" spans="1:3" x14ac:dyDescent="0.25">
      <c r="A21" s="3" t="s">
        <v>42</v>
      </c>
      <c r="B21" s="2">
        <v>-27226</v>
      </c>
    </row>
    <row r="22" spans="1:3" x14ac:dyDescent="0.25">
      <c r="A22" s="3" t="s">
        <v>43</v>
      </c>
      <c r="B22" s="2">
        <v>902083</v>
      </c>
    </row>
    <row r="23" spans="1:3" x14ac:dyDescent="0.25">
      <c r="A23" s="3" t="s">
        <v>44</v>
      </c>
      <c r="B23" s="2">
        <v>0</v>
      </c>
    </row>
    <row r="24" spans="1:3" x14ac:dyDescent="0.25">
      <c r="A24" s="3" t="s">
        <v>45</v>
      </c>
      <c r="B24" s="2"/>
    </row>
    <row r="25" spans="1:3" x14ac:dyDescent="0.25">
      <c r="A25" s="3"/>
      <c r="B25" s="2"/>
    </row>
    <row r="26" spans="1:3" x14ac:dyDescent="0.25">
      <c r="A26" s="3" t="s">
        <v>52</v>
      </c>
      <c r="B26" s="2">
        <v>-257782</v>
      </c>
    </row>
    <row r="27" spans="1:3" x14ac:dyDescent="0.25">
      <c r="A27" s="3" t="s">
        <v>53</v>
      </c>
      <c r="B27" s="2">
        <v>0</v>
      </c>
    </row>
    <row r="28" spans="1:3" x14ac:dyDescent="0.25">
      <c r="A28" s="3" t="s">
        <v>54</v>
      </c>
      <c r="B28" s="2">
        <v>-2554009</v>
      </c>
    </row>
    <row r="29" spans="1:3" x14ac:dyDescent="0.25">
      <c r="A29" s="3" t="s">
        <v>55</v>
      </c>
      <c r="B29" s="2">
        <v>-602545</v>
      </c>
    </row>
    <row r="30" spans="1:3" x14ac:dyDescent="0.25">
      <c r="A30" s="3"/>
      <c r="B30" s="13">
        <v>-8224933</v>
      </c>
    </row>
    <row r="31" spans="1:3" x14ac:dyDescent="0.25">
      <c r="A31" s="3" t="s">
        <v>46</v>
      </c>
      <c r="B31" s="2">
        <v>48274667</v>
      </c>
    </row>
    <row r="32" spans="1:3" x14ac:dyDescent="0.25">
      <c r="A32" s="3" t="s">
        <v>56</v>
      </c>
      <c r="B32" s="1">
        <v>-5381490</v>
      </c>
      <c r="C32" s="18"/>
    </row>
    <row r="33" spans="1:2" ht="15.75" thickBot="1" x14ac:dyDescent="0.3">
      <c r="A33" s="15" t="s">
        <v>47</v>
      </c>
      <c r="B33" s="16">
        <v>42893177</v>
      </c>
    </row>
    <row r="34" spans="1:2" ht="15.75" thickTop="1" x14ac:dyDescent="0.25">
      <c r="A34" s="3"/>
      <c r="B34" s="2"/>
    </row>
    <row r="35" spans="1:2" x14ac:dyDescent="0.25">
      <c r="A35" s="15" t="s">
        <v>48</v>
      </c>
      <c r="B35" s="17">
        <v>2.1068053556866497E-2</v>
      </c>
    </row>
    <row r="37" spans="1:2" x14ac:dyDescent="0.25">
      <c r="A37" s="81" t="s">
        <v>25</v>
      </c>
      <c r="B37" s="11">
        <v>935839421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9B067-635D-44E3-B0BB-AE0122707AC2}">
  <dimension ref="A1:L66"/>
  <sheetViews>
    <sheetView zoomScale="110" zoomScaleNormal="110" workbookViewId="0">
      <selection activeCell="D64" sqref="D64"/>
    </sheetView>
  </sheetViews>
  <sheetFormatPr baseColWidth="10" defaultColWidth="11.5703125" defaultRowHeight="15.75" x14ac:dyDescent="0.25"/>
  <cols>
    <col min="1" max="1" width="65" style="26" customWidth="1"/>
    <col min="2" max="2" width="14.28515625" style="26" customWidth="1"/>
    <col min="3" max="3" width="13.85546875" style="26" customWidth="1"/>
    <col min="4" max="4" width="15.28515625" style="26" customWidth="1"/>
    <col min="5" max="6" width="11.5703125" style="26"/>
    <col min="7" max="7" width="12.140625" style="26" bestFit="1" customWidth="1"/>
    <col min="8" max="16384" width="11.5703125" style="26"/>
  </cols>
  <sheetData>
    <row r="1" spans="1:12" x14ac:dyDescent="0.25">
      <c r="A1" s="97" t="s">
        <v>115</v>
      </c>
      <c r="B1" s="98"/>
      <c r="C1" s="33"/>
    </row>
    <row r="2" spans="1:12" x14ac:dyDescent="0.25">
      <c r="A2" s="97"/>
      <c r="B2" s="98"/>
      <c r="C2" s="33"/>
    </row>
    <row r="3" spans="1:12" x14ac:dyDescent="0.25">
      <c r="A3" s="97" t="s">
        <v>146</v>
      </c>
      <c r="B3" s="98"/>
      <c r="C3" s="33"/>
    </row>
    <row r="4" spans="1:12" x14ac:dyDescent="0.25">
      <c r="A4" s="97" t="s">
        <v>116</v>
      </c>
      <c r="B4" s="98"/>
      <c r="C4" s="33"/>
    </row>
    <row r="5" spans="1:12" x14ac:dyDescent="0.25">
      <c r="A5" s="99" t="s">
        <v>59</v>
      </c>
      <c r="B5" s="100"/>
      <c r="C5" s="33"/>
    </row>
    <row r="6" spans="1:12" x14ac:dyDescent="0.25">
      <c r="A6" s="58"/>
      <c r="B6" s="101">
        <v>2007</v>
      </c>
      <c r="C6" s="33"/>
    </row>
    <row r="7" spans="1:12" x14ac:dyDescent="0.25">
      <c r="A7" s="102" t="s">
        <v>60</v>
      </c>
      <c r="B7" s="59"/>
      <c r="C7" s="33"/>
      <c r="F7" s="3"/>
      <c r="G7" s="3"/>
      <c r="H7" s="3"/>
      <c r="I7" s="3"/>
      <c r="J7" s="3"/>
      <c r="K7" s="3"/>
      <c r="L7" s="22"/>
    </row>
    <row r="8" spans="1:12" x14ac:dyDescent="0.25">
      <c r="A8" s="58" t="s">
        <v>61</v>
      </c>
      <c r="B8" s="59">
        <v>42893177</v>
      </c>
      <c r="C8" s="33"/>
      <c r="F8" s="3"/>
      <c r="G8" s="3"/>
      <c r="H8" s="3"/>
      <c r="I8" s="3"/>
      <c r="J8" s="3"/>
      <c r="K8" s="3"/>
      <c r="L8" s="25"/>
    </row>
    <row r="9" spans="1:12" x14ac:dyDescent="0.25">
      <c r="A9" s="58" t="s">
        <v>62</v>
      </c>
      <c r="B9" s="59"/>
      <c r="C9" s="33"/>
      <c r="F9" s="3"/>
      <c r="G9" s="3"/>
      <c r="H9" s="3"/>
      <c r="I9" s="3"/>
      <c r="J9" s="3"/>
      <c r="K9" s="3"/>
      <c r="L9" s="25"/>
    </row>
    <row r="10" spans="1:12" x14ac:dyDescent="0.25">
      <c r="A10" s="58"/>
      <c r="B10" s="59"/>
      <c r="C10" s="33"/>
      <c r="F10" s="3"/>
      <c r="G10" s="3"/>
      <c r="I10" s="3"/>
      <c r="J10" s="3"/>
      <c r="K10" s="3"/>
      <c r="L10" s="25"/>
    </row>
    <row r="11" spans="1:12" x14ac:dyDescent="0.25">
      <c r="A11" s="58" t="s">
        <v>63</v>
      </c>
      <c r="B11" s="59">
        <v>27226</v>
      </c>
      <c r="C11" s="33"/>
      <c r="F11" s="3"/>
      <c r="G11" s="3"/>
      <c r="J11" s="3"/>
      <c r="K11" s="3"/>
      <c r="L11" s="22"/>
    </row>
    <row r="12" spans="1:12" x14ac:dyDescent="0.25">
      <c r="A12" s="58" t="s">
        <v>64</v>
      </c>
      <c r="B12" s="59">
        <v>-802404</v>
      </c>
      <c r="C12" s="33"/>
      <c r="F12" s="3"/>
      <c r="G12" s="3"/>
      <c r="J12" s="3"/>
      <c r="K12" s="3"/>
      <c r="L12" s="22"/>
    </row>
    <row r="13" spans="1:12" x14ac:dyDescent="0.25">
      <c r="A13" s="58" t="s">
        <v>65</v>
      </c>
      <c r="B13" s="59">
        <v>407911</v>
      </c>
      <c r="C13" s="33"/>
      <c r="F13" s="3"/>
      <c r="G13" s="3"/>
      <c r="J13" s="3"/>
      <c r="K13" s="3"/>
      <c r="L13" s="22"/>
    </row>
    <row r="14" spans="1:12" x14ac:dyDescent="0.25">
      <c r="A14" s="58" t="s">
        <v>66</v>
      </c>
      <c r="B14" s="59"/>
      <c r="C14" s="33"/>
      <c r="F14" s="3"/>
      <c r="G14" s="3"/>
      <c r="J14" s="3"/>
      <c r="K14" s="3"/>
      <c r="L14" s="22"/>
    </row>
    <row r="15" spans="1:12" x14ac:dyDescent="0.25">
      <c r="A15" s="58" t="s">
        <v>67</v>
      </c>
      <c r="B15" s="59">
        <v>5381490</v>
      </c>
      <c r="C15" s="33"/>
      <c r="F15" s="3"/>
      <c r="G15" s="3"/>
      <c r="J15" s="3"/>
      <c r="K15" s="3"/>
      <c r="L15" s="22"/>
    </row>
    <row r="16" spans="1:12" x14ac:dyDescent="0.25">
      <c r="A16" s="58" t="s">
        <v>68</v>
      </c>
      <c r="B16" s="59">
        <v>0</v>
      </c>
      <c r="C16" s="33"/>
      <c r="F16" s="3"/>
      <c r="G16" s="3"/>
      <c r="J16" s="3"/>
      <c r="K16" s="3"/>
      <c r="L16" s="22"/>
    </row>
    <row r="17" spans="1:12" x14ac:dyDescent="0.25">
      <c r="A17" s="58" t="s">
        <v>69</v>
      </c>
      <c r="B17" s="59">
        <v>0</v>
      </c>
      <c r="C17" s="33"/>
      <c r="F17" s="3"/>
      <c r="G17" s="3"/>
      <c r="J17" s="3"/>
      <c r="K17" s="3"/>
      <c r="L17" s="22"/>
    </row>
    <row r="18" spans="1:12" x14ac:dyDescent="0.25">
      <c r="A18" s="58" t="s">
        <v>70</v>
      </c>
      <c r="B18" s="59">
        <v>-21346</v>
      </c>
      <c r="C18" s="33"/>
      <c r="F18" s="3"/>
      <c r="G18" s="3"/>
      <c r="J18" s="3"/>
      <c r="K18" s="3"/>
      <c r="L18" s="22"/>
    </row>
    <row r="19" spans="1:12" x14ac:dyDescent="0.25">
      <c r="A19" s="58" t="s">
        <v>71</v>
      </c>
      <c r="B19" s="59">
        <v>65275</v>
      </c>
      <c r="C19" s="33"/>
      <c r="F19" s="3"/>
      <c r="G19" s="3"/>
      <c r="J19" s="3"/>
      <c r="K19" s="3"/>
      <c r="L19" s="22"/>
    </row>
    <row r="20" spans="1:12" x14ac:dyDescent="0.25">
      <c r="A20" s="58" t="s">
        <v>72</v>
      </c>
      <c r="B20" s="59">
        <v>-9211</v>
      </c>
      <c r="C20" s="33"/>
      <c r="F20" s="3"/>
      <c r="G20" s="3"/>
      <c r="J20" s="3"/>
      <c r="K20" s="3"/>
      <c r="L20" s="22"/>
    </row>
    <row r="21" spans="1:12" x14ac:dyDescent="0.25">
      <c r="A21" s="58" t="s">
        <v>73</v>
      </c>
      <c r="B21" s="59">
        <v>7338490</v>
      </c>
      <c r="C21" s="33"/>
      <c r="F21" s="3"/>
      <c r="G21" s="3"/>
      <c r="J21" s="3"/>
      <c r="K21" s="3"/>
      <c r="L21" s="22"/>
    </row>
    <row r="22" spans="1:12" x14ac:dyDescent="0.25">
      <c r="A22" s="58" t="s">
        <v>74</v>
      </c>
      <c r="B22" s="59">
        <v>-850632</v>
      </c>
      <c r="C22" s="33"/>
      <c r="F22" s="3"/>
      <c r="G22" s="3"/>
      <c r="J22" s="3"/>
      <c r="K22" s="3"/>
      <c r="L22" s="22"/>
    </row>
    <row r="23" spans="1:12" x14ac:dyDescent="0.25">
      <c r="A23" s="58" t="s">
        <v>75</v>
      </c>
      <c r="B23" s="59">
        <v>0</v>
      </c>
      <c r="C23" s="33"/>
      <c r="F23" s="3"/>
      <c r="G23" s="3"/>
      <c r="J23" s="3"/>
      <c r="K23" s="3"/>
      <c r="L23" s="22"/>
    </row>
    <row r="24" spans="1:12" x14ac:dyDescent="0.25">
      <c r="A24" s="58" t="s">
        <v>76</v>
      </c>
      <c r="B24" s="62">
        <v>18212896</v>
      </c>
      <c r="C24" s="33"/>
      <c r="F24" s="3"/>
      <c r="G24" s="3"/>
      <c r="J24" s="3"/>
      <c r="K24" s="3"/>
      <c r="L24" s="22"/>
    </row>
    <row r="25" spans="1:12" x14ac:dyDescent="0.25">
      <c r="A25" s="58"/>
      <c r="B25" s="62"/>
      <c r="C25" s="103">
        <f>SUM(B8:B24)</f>
        <v>72642872</v>
      </c>
      <c r="F25" s="3"/>
      <c r="G25" s="3"/>
      <c r="J25" s="3"/>
      <c r="K25" s="3"/>
      <c r="L25" s="22"/>
    </row>
    <row r="26" spans="1:12" x14ac:dyDescent="0.25">
      <c r="A26" s="58"/>
      <c r="B26" s="59"/>
      <c r="C26" s="33"/>
      <c r="F26" s="3"/>
      <c r="G26" s="3"/>
      <c r="J26" s="3"/>
      <c r="K26" s="3"/>
      <c r="L26" s="22"/>
    </row>
    <row r="27" spans="1:12" x14ac:dyDescent="0.25">
      <c r="A27" s="58" t="s">
        <v>77</v>
      </c>
      <c r="B27" s="59"/>
      <c r="C27" s="33"/>
      <c r="F27" s="3"/>
      <c r="G27" s="3"/>
      <c r="J27" s="3"/>
      <c r="K27" s="3"/>
      <c r="L27" s="22"/>
    </row>
    <row r="28" spans="1:12" x14ac:dyDescent="0.25">
      <c r="A28" s="58" t="s">
        <v>78</v>
      </c>
      <c r="B28" s="59">
        <v>-16189503</v>
      </c>
      <c r="C28" s="33"/>
      <c r="F28" s="3"/>
      <c r="G28" s="3"/>
      <c r="K28" s="3"/>
      <c r="L28" s="22"/>
    </row>
    <row r="29" spans="1:12" x14ac:dyDescent="0.25">
      <c r="A29" s="58" t="s">
        <v>79</v>
      </c>
      <c r="B29" s="59">
        <v>-139844</v>
      </c>
      <c r="C29" s="33"/>
      <c r="F29" s="3"/>
      <c r="G29" s="3"/>
      <c r="K29" s="3"/>
      <c r="L29" s="22"/>
    </row>
    <row r="30" spans="1:12" x14ac:dyDescent="0.25">
      <c r="A30" s="58" t="s">
        <v>80</v>
      </c>
      <c r="B30" s="59">
        <v>-14512555</v>
      </c>
      <c r="C30" s="33"/>
      <c r="F30" s="3"/>
      <c r="G30" s="3"/>
      <c r="K30" s="3"/>
      <c r="L30" s="22"/>
    </row>
    <row r="31" spans="1:12" x14ac:dyDescent="0.25">
      <c r="A31" s="58" t="s">
        <v>81</v>
      </c>
      <c r="B31" s="59">
        <v>159863</v>
      </c>
      <c r="C31" s="33"/>
      <c r="F31" s="3"/>
      <c r="G31" s="3"/>
      <c r="K31" s="3"/>
      <c r="L31" s="22"/>
    </row>
    <row r="32" spans="1:12" x14ac:dyDescent="0.25">
      <c r="A32" s="58" t="s">
        <v>82</v>
      </c>
      <c r="B32" s="59">
        <v>-1359539</v>
      </c>
      <c r="C32" s="33"/>
      <c r="F32" s="3"/>
      <c r="G32" s="3"/>
      <c r="K32" s="3"/>
      <c r="L32" s="22"/>
    </row>
    <row r="33" spans="1:12" x14ac:dyDescent="0.25">
      <c r="A33" s="58" t="s">
        <v>83</v>
      </c>
      <c r="B33" s="59"/>
      <c r="C33" s="33"/>
      <c r="F33" s="3"/>
      <c r="G33" s="3"/>
      <c r="K33" s="3"/>
      <c r="L33" s="22"/>
    </row>
    <row r="34" spans="1:12" x14ac:dyDescent="0.25">
      <c r="A34" s="58" t="s">
        <v>84</v>
      </c>
      <c r="B34" s="59">
        <v>0</v>
      </c>
      <c r="C34" s="33"/>
      <c r="F34" s="3"/>
      <c r="G34" s="3"/>
      <c r="K34" s="3"/>
      <c r="L34" s="22"/>
    </row>
    <row r="35" spans="1:12" x14ac:dyDescent="0.25">
      <c r="A35" s="58" t="s">
        <v>85</v>
      </c>
      <c r="B35" s="62">
        <v>5068506</v>
      </c>
      <c r="C35" s="33"/>
      <c r="F35" s="3"/>
      <c r="G35" s="93"/>
      <c r="K35" s="3"/>
      <c r="L35" s="22"/>
    </row>
    <row r="36" spans="1:12" x14ac:dyDescent="0.25">
      <c r="A36" s="58"/>
      <c r="B36" s="59"/>
      <c r="C36" s="33"/>
      <c r="F36" s="3"/>
      <c r="G36" s="94"/>
      <c r="K36" s="3"/>
      <c r="L36" s="22"/>
    </row>
    <row r="37" spans="1:12" x14ac:dyDescent="0.25">
      <c r="A37" s="58" t="s">
        <v>155</v>
      </c>
      <c r="B37" s="33"/>
      <c r="C37" s="59">
        <f>SUM(B26:B35)+C25</f>
        <v>45669800</v>
      </c>
      <c r="F37" s="3"/>
      <c r="G37" s="94"/>
      <c r="L37" s="22"/>
    </row>
    <row r="38" spans="1:12" x14ac:dyDescent="0.25">
      <c r="A38" s="58"/>
      <c r="B38" s="59"/>
      <c r="C38" s="33"/>
      <c r="F38" s="3"/>
      <c r="G38" s="3"/>
      <c r="L38" s="22"/>
    </row>
    <row r="39" spans="1:12" x14ac:dyDescent="0.25">
      <c r="A39" s="58" t="s">
        <v>86</v>
      </c>
      <c r="B39" s="59">
        <v>-6720039</v>
      </c>
      <c r="C39" s="33"/>
      <c r="F39" s="3"/>
      <c r="G39" s="3"/>
      <c r="L39" s="22"/>
    </row>
    <row r="40" spans="1:12" x14ac:dyDescent="0.25">
      <c r="A40" s="58" t="s">
        <v>87</v>
      </c>
      <c r="B40" s="59">
        <v>850632</v>
      </c>
      <c r="C40" s="33"/>
      <c r="F40" s="3"/>
      <c r="G40" s="3"/>
      <c r="L40" s="22"/>
    </row>
    <row r="41" spans="1:12" x14ac:dyDescent="0.25">
      <c r="A41" s="58" t="s">
        <v>88</v>
      </c>
      <c r="B41" s="59">
        <v>-10597274</v>
      </c>
      <c r="C41" s="33"/>
      <c r="F41" s="3"/>
      <c r="G41" s="3"/>
      <c r="L41" s="22"/>
    </row>
    <row r="42" spans="1:12" x14ac:dyDescent="0.25">
      <c r="A42" s="63" t="s">
        <v>89</v>
      </c>
      <c r="B42" s="104"/>
      <c r="C42" s="105">
        <f>SUM(B37:B41)+C37</f>
        <v>29203119</v>
      </c>
      <c r="F42" s="3"/>
      <c r="G42" s="3"/>
      <c r="L42" s="22"/>
    </row>
    <row r="43" spans="1:12" x14ac:dyDescent="0.25">
      <c r="A43" s="102" t="s">
        <v>90</v>
      </c>
      <c r="B43" s="59"/>
      <c r="C43" s="33"/>
      <c r="G43" s="3"/>
      <c r="L43" s="22"/>
    </row>
    <row r="44" spans="1:12" x14ac:dyDescent="0.25">
      <c r="A44" s="58" t="s">
        <v>91</v>
      </c>
      <c r="B44" s="59">
        <v>41265</v>
      </c>
      <c r="C44" s="33"/>
      <c r="G44" s="3"/>
      <c r="L44" s="22"/>
    </row>
    <row r="45" spans="1:12" x14ac:dyDescent="0.25">
      <c r="A45" s="58" t="s">
        <v>92</v>
      </c>
      <c r="B45" s="59">
        <v>9211</v>
      </c>
      <c r="C45" s="33"/>
      <c r="G45" s="3"/>
      <c r="L45" s="22"/>
    </row>
    <row r="46" spans="1:12" x14ac:dyDescent="0.25">
      <c r="A46" s="58" t="s">
        <v>93</v>
      </c>
      <c r="B46" s="62">
        <v>-2720480</v>
      </c>
      <c r="C46" s="33"/>
      <c r="G46" s="3"/>
      <c r="L46" s="22"/>
    </row>
    <row r="47" spans="1:12" x14ac:dyDescent="0.25">
      <c r="A47" s="63" t="s">
        <v>94</v>
      </c>
      <c r="B47" s="62"/>
      <c r="C47" s="105">
        <f>SUM(B44:B46)</f>
        <v>-2670004</v>
      </c>
      <c r="G47" s="3"/>
      <c r="L47" s="22"/>
    </row>
    <row r="48" spans="1:12" x14ac:dyDescent="0.25">
      <c r="A48" s="102" t="s">
        <v>95</v>
      </c>
      <c r="B48" s="59"/>
      <c r="C48" s="33"/>
      <c r="G48" s="3"/>
      <c r="L48" s="22"/>
    </row>
    <row r="49" spans="1:12" x14ac:dyDescent="0.25">
      <c r="A49" s="58" t="s">
        <v>96</v>
      </c>
      <c r="B49" s="59">
        <v>-23532815</v>
      </c>
      <c r="C49" s="33"/>
      <c r="G49" s="3"/>
      <c r="L49" s="22"/>
    </row>
    <row r="50" spans="1:12" x14ac:dyDescent="0.25">
      <c r="A50" s="58" t="s">
        <v>97</v>
      </c>
      <c r="B50" s="59">
        <v>16152400</v>
      </c>
      <c r="C50" s="33"/>
      <c r="G50" s="3"/>
      <c r="L50" s="22"/>
    </row>
    <row r="51" spans="1:12" x14ac:dyDescent="0.25">
      <c r="A51" s="58" t="s">
        <v>98</v>
      </c>
      <c r="B51" s="59">
        <v>-16623546</v>
      </c>
      <c r="C51" s="33"/>
      <c r="G51" s="3"/>
      <c r="L51" s="22"/>
    </row>
    <row r="52" spans="1:12" x14ac:dyDescent="0.25">
      <c r="A52" s="58" t="s">
        <v>99</v>
      </c>
      <c r="B52" s="59">
        <v>34200000</v>
      </c>
      <c r="C52" s="33"/>
      <c r="G52" s="3"/>
      <c r="L52" s="22"/>
    </row>
    <row r="53" spans="1:12" x14ac:dyDescent="0.25">
      <c r="A53" s="58" t="s">
        <v>100</v>
      </c>
      <c r="B53" s="59">
        <v>14311</v>
      </c>
      <c r="C53" s="33"/>
      <c r="G53" s="3"/>
      <c r="L53" s="22"/>
    </row>
    <row r="54" spans="1:12" x14ac:dyDescent="0.25">
      <c r="A54" s="58" t="s">
        <v>101</v>
      </c>
      <c r="B54" s="59">
        <v>0</v>
      </c>
      <c r="C54" s="33"/>
      <c r="G54" s="2"/>
      <c r="L54" s="22"/>
    </row>
    <row r="55" spans="1:12" x14ac:dyDescent="0.25">
      <c r="A55" s="58" t="s">
        <v>102</v>
      </c>
      <c r="B55" s="62">
        <v>-49471505</v>
      </c>
      <c r="C55" s="33"/>
      <c r="G55" s="2"/>
      <c r="L55" s="22"/>
    </row>
    <row r="56" spans="1:12" x14ac:dyDescent="0.25">
      <c r="A56" s="63" t="s">
        <v>103</v>
      </c>
      <c r="B56" s="33"/>
      <c r="C56" s="105">
        <f>SUM(B49:B55)</f>
        <v>-39261155</v>
      </c>
      <c r="G56" s="3"/>
      <c r="L56" s="22"/>
    </row>
    <row r="57" spans="1:12" x14ac:dyDescent="0.25">
      <c r="A57" s="106"/>
      <c r="B57" s="33"/>
      <c r="C57" s="33"/>
      <c r="G57" s="3"/>
      <c r="L57" s="22"/>
    </row>
    <row r="58" spans="1:12" x14ac:dyDescent="0.25">
      <c r="A58" s="102" t="s">
        <v>104</v>
      </c>
      <c r="B58" s="107">
        <v>-12728040</v>
      </c>
      <c r="C58" s="33"/>
      <c r="G58" s="3"/>
      <c r="L58" s="22"/>
    </row>
    <row r="59" spans="1:12" x14ac:dyDescent="0.25">
      <c r="A59" s="102" t="s">
        <v>105</v>
      </c>
      <c r="B59" s="107">
        <v>23889943</v>
      </c>
      <c r="C59" s="33"/>
      <c r="G59" s="3"/>
      <c r="L59" s="22"/>
    </row>
    <row r="60" spans="1:12" ht="16.5" thickBot="1" x14ac:dyDescent="0.3">
      <c r="A60" s="102" t="s">
        <v>106</v>
      </c>
      <c r="B60" s="108">
        <f>SUM(B58:B59)</f>
        <v>11161903</v>
      </c>
      <c r="C60" s="33"/>
      <c r="G60" s="3"/>
      <c r="L60" s="22"/>
    </row>
    <row r="61" spans="1:12" x14ac:dyDescent="0.25">
      <c r="A61" s="33"/>
      <c r="B61" s="33"/>
      <c r="C61" s="33"/>
      <c r="G61" s="3"/>
      <c r="L61" s="22"/>
    </row>
    <row r="62" spans="1:12" x14ac:dyDescent="0.25">
      <c r="A62" s="50" t="s">
        <v>107</v>
      </c>
      <c r="B62" s="109">
        <f>SUMIF(B8:B55,"&gt;0")</f>
        <v>130822653</v>
      </c>
      <c r="C62" s="33"/>
      <c r="D62" s="26" t="s">
        <v>110</v>
      </c>
      <c r="G62" s="3"/>
      <c r="L62" s="22"/>
    </row>
    <row r="63" spans="1:12" x14ac:dyDescent="0.25">
      <c r="A63" s="50" t="s">
        <v>108</v>
      </c>
      <c r="B63" s="109">
        <f>SUMIF(B9:B55,"&lt;0")</f>
        <v>-143550693</v>
      </c>
      <c r="C63" s="33"/>
      <c r="G63" s="3"/>
      <c r="L63" s="22"/>
    </row>
    <row r="64" spans="1:12" x14ac:dyDescent="0.25">
      <c r="A64" s="50" t="s">
        <v>109</v>
      </c>
      <c r="B64" s="110">
        <f>B62+B63</f>
        <v>-12728040</v>
      </c>
      <c r="C64" s="33"/>
      <c r="D64" s="92">
        <f>SUM(C42:C56)</f>
        <v>-12728040</v>
      </c>
      <c r="G64" s="3"/>
      <c r="L64" s="22"/>
    </row>
    <row r="65" spans="2:12" x14ac:dyDescent="0.25">
      <c r="G65" s="3"/>
      <c r="L65" s="22"/>
    </row>
    <row r="66" spans="2:12" x14ac:dyDescent="0.25">
      <c r="B66" s="2"/>
      <c r="G66" s="3"/>
      <c r="L66" s="2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CAPITAL TRABAJO</vt:lpstr>
      <vt:lpstr>EDO. DE SITUACIÓN</vt:lpstr>
      <vt:lpstr>RESULTADOS</vt:lpstr>
      <vt:lpstr>EFECTIVO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2021-03-30T13:23:10Z</dcterms:modified>
</cp:coreProperties>
</file>